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РАБОТА\Благоустройство памятника в д. Нижнее Николаевское\"/>
    </mc:Choice>
  </mc:AlternateContent>
  <xr:revisionPtr revIDLastSave="0" documentId="13_ncr:1_{CB4F0CBB-2537-431F-8304-CD45B12C1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 для ТЕР ЧР" sheetId="6" r:id="rId1"/>
    <sheet name="RV_DATA" sheetId="8" state="hidden" r:id="rId2"/>
    <sheet name="Расчет стоимости ресурсов" sheetId="7" r:id="rId3"/>
    <sheet name="Ведомость объемов работ" sheetId="9" r:id="rId4"/>
    <sheet name="Source" sheetId="1" r:id="rId5"/>
    <sheet name="SourceObSm" sheetId="2" r:id="rId6"/>
    <sheet name="SmtRes" sheetId="3" r:id="rId7"/>
    <sheet name="EtalonRes" sheetId="4" r:id="rId8"/>
    <sheet name="SrcKA" sheetId="5" r:id="rId9"/>
  </sheets>
  <definedNames>
    <definedName name="_xlnm.Print_Titles" localSheetId="3">'Ведомость объемов работ'!$17:$17</definedName>
    <definedName name="_xlnm.Print_Titles" localSheetId="2">'Расчет стоимости ресурсов'!$4:$7</definedName>
    <definedName name="_xlnm.Print_Titles" localSheetId="0">'Смета для ТЕР ЧР'!$28:$28</definedName>
    <definedName name="_xlnm.Print_Area" localSheetId="3">'Ведомость объемов работ'!$A$1:$H$122</definedName>
    <definedName name="_xlnm.Print_Area" localSheetId="2">'Расчет стоимости ресурсов'!$A$1:$H$344</definedName>
    <definedName name="_xlnm.Print_Area" localSheetId="0">'Смета для ТЕР ЧР'!$A$1:$L$648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9" l="1"/>
  <c r="D118" i="9"/>
  <c r="G115" i="9"/>
  <c r="F115" i="9"/>
  <c r="E115" i="9"/>
  <c r="C115" i="9"/>
  <c r="B115" i="9"/>
  <c r="G114" i="9"/>
  <c r="F114" i="9"/>
  <c r="E114" i="9"/>
  <c r="C114" i="9"/>
  <c r="B114" i="9"/>
  <c r="G113" i="9"/>
  <c r="F113" i="9"/>
  <c r="E113" i="9"/>
  <c r="C113" i="9"/>
  <c r="B113" i="9"/>
  <c r="G112" i="9"/>
  <c r="F112" i="9"/>
  <c r="E112" i="9"/>
  <c r="C112" i="9"/>
  <c r="B112" i="9"/>
  <c r="G111" i="9"/>
  <c r="F111" i="9"/>
  <c r="E111" i="9"/>
  <c r="C111" i="9"/>
  <c r="B111" i="9"/>
  <c r="G110" i="9"/>
  <c r="F110" i="9"/>
  <c r="E110" i="9"/>
  <c r="C110" i="9"/>
  <c r="B110" i="9"/>
  <c r="G109" i="9"/>
  <c r="F109" i="9"/>
  <c r="E109" i="9"/>
  <c r="C109" i="9"/>
  <c r="B109" i="9"/>
  <c r="G108" i="9"/>
  <c r="F108" i="9"/>
  <c r="E108" i="9"/>
  <c r="C108" i="9"/>
  <c r="B108" i="9"/>
  <c r="F107" i="9"/>
  <c r="E107" i="9"/>
  <c r="C107" i="9"/>
  <c r="B107" i="9"/>
  <c r="G106" i="9"/>
  <c r="F106" i="9"/>
  <c r="E106" i="9"/>
  <c r="C106" i="9"/>
  <c r="B106" i="9"/>
  <c r="G105" i="9"/>
  <c r="F105" i="9"/>
  <c r="E105" i="9"/>
  <c r="C105" i="9"/>
  <c r="B105" i="9"/>
  <c r="A104" i="9"/>
  <c r="G103" i="9"/>
  <c r="F103" i="9"/>
  <c r="E103" i="9"/>
  <c r="C103" i="9"/>
  <c r="B103" i="9"/>
  <c r="G102" i="9"/>
  <c r="F102" i="9"/>
  <c r="E102" i="9"/>
  <c r="C102" i="9"/>
  <c r="B102" i="9"/>
  <c r="G101" i="9"/>
  <c r="F101" i="9"/>
  <c r="E101" i="9"/>
  <c r="C101" i="9"/>
  <c r="B101" i="9"/>
  <c r="G100" i="9"/>
  <c r="F100" i="9"/>
  <c r="E100" i="9"/>
  <c r="C100" i="9"/>
  <c r="B100" i="9"/>
  <c r="G99" i="9"/>
  <c r="F99" i="9"/>
  <c r="E99" i="9"/>
  <c r="C99" i="9"/>
  <c r="B99" i="9"/>
  <c r="G98" i="9"/>
  <c r="F98" i="9"/>
  <c r="E98" i="9"/>
  <c r="C98" i="9"/>
  <c r="B98" i="9"/>
  <c r="G97" i="9"/>
  <c r="F97" i="9"/>
  <c r="E97" i="9"/>
  <c r="C97" i="9"/>
  <c r="B97" i="9"/>
  <c r="G96" i="9"/>
  <c r="F96" i="9"/>
  <c r="E96" i="9"/>
  <c r="C96" i="9"/>
  <c r="B96" i="9"/>
  <c r="A95" i="9"/>
  <c r="G94" i="9"/>
  <c r="F94" i="9"/>
  <c r="E94" i="9"/>
  <c r="C94" i="9"/>
  <c r="B94" i="9"/>
  <c r="A93" i="9"/>
  <c r="G92" i="9"/>
  <c r="F92" i="9"/>
  <c r="E92" i="9"/>
  <c r="C92" i="9"/>
  <c r="B92" i="9"/>
  <c r="F91" i="9"/>
  <c r="E91" i="9"/>
  <c r="C91" i="9"/>
  <c r="B91" i="9"/>
  <c r="G90" i="9"/>
  <c r="F90" i="9"/>
  <c r="E90" i="9"/>
  <c r="C90" i="9"/>
  <c r="B90" i="9"/>
  <c r="G89" i="9"/>
  <c r="F89" i="9"/>
  <c r="E89" i="9"/>
  <c r="C89" i="9"/>
  <c r="B89" i="9"/>
  <c r="G88" i="9"/>
  <c r="F88" i="9"/>
  <c r="E88" i="9"/>
  <c r="C88" i="9"/>
  <c r="B88" i="9"/>
  <c r="G87" i="9"/>
  <c r="F87" i="9"/>
  <c r="E87" i="9"/>
  <c r="C87" i="9"/>
  <c r="B87" i="9"/>
  <c r="G86" i="9"/>
  <c r="F86" i="9"/>
  <c r="E86" i="9"/>
  <c r="C86" i="9"/>
  <c r="B86" i="9"/>
  <c r="F85" i="9"/>
  <c r="E85" i="9"/>
  <c r="C85" i="9"/>
  <c r="B85" i="9"/>
  <c r="G84" i="9"/>
  <c r="F84" i="9"/>
  <c r="E84" i="9"/>
  <c r="C84" i="9"/>
  <c r="B84" i="9"/>
  <c r="G83" i="9"/>
  <c r="F83" i="9"/>
  <c r="E83" i="9"/>
  <c r="C83" i="9"/>
  <c r="B83" i="9"/>
  <c r="G82" i="9"/>
  <c r="F82" i="9"/>
  <c r="E82" i="9"/>
  <c r="C82" i="9"/>
  <c r="B82" i="9"/>
  <c r="F81" i="9"/>
  <c r="E81" i="9"/>
  <c r="C81" i="9"/>
  <c r="B81" i="9"/>
  <c r="F80" i="9"/>
  <c r="E80" i="9"/>
  <c r="C80" i="9"/>
  <c r="B80" i="9"/>
  <c r="G79" i="9"/>
  <c r="F79" i="9"/>
  <c r="E79" i="9"/>
  <c r="C79" i="9"/>
  <c r="B79" i="9"/>
  <c r="G78" i="9"/>
  <c r="F78" i="9"/>
  <c r="E78" i="9"/>
  <c r="C78" i="9"/>
  <c r="B78" i="9"/>
  <c r="G77" i="9"/>
  <c r="F77" i="9"/>
  <c r="E77" i="9"/>
  <c r="C77" i="9"/>
  <c r="B77" i="9"/>
  <c r="G76" i="9"/>
  <c r="F76" i="9"/>
  <c r="E76" i="9"/>
  <c r="C76" i="9"/>
  <c r="B76" i="9"/>
  <c r="G75" i="9"/>
  <c r="F75" i="9"/>
  <c r="E75" i="9"/>
  <c r="C75" i="9"/>
  <c r="B75" i="9"/>
  <c r="G74" i="9"/>
  <c r="F74" i="9"/>
  <c r="E74" i="9"/>
  <c r="C74" i="9"/>
  <c r="B74" i="9"/>
  <c r="F73" i="9"/>
  <c r="E73" i="9"/>
  <c r="C73" i="9"/>
  <c r="B73" i="9"/>
  <c r="G72" i="9"/>
  <c r="F72" i="9"/>
  <c r="E72" i="9"/>
  <c r="C72" i="9"/>
  <c r="B72" i="9"/>
  <c r="A71" i="9"/>
  <c r="G70" i="9"/>
  <c r="F70" i="9"/>
  <c r="E70" i="9"/>
  <c r="C70" i="9"/>
  <c r="B70" i="9"/>
  <c r="G69" i="9"/>
  <c r="F69" i="9"/>
  <c r="E69" i="9"/>
  <c r="C69" i="9"/>
  <c r="B69" i="9"/>
  <c r="G68" i="9"/>
  <c r="F68" i="9"/>
  <c r="E68" i="9"/>
  <c r="C68" i="9"/>
  <c r="B68" i="9"/>
  <c r="F67" i="9"/>
  <c r="E67" i="9"/>
  <c r="C67" i="9"/>
  <c r="B67" i="9"/>
  <c r="G66" i="9"/>
  <c r="F66" i="9"/>
  <c r="E66" i="9"/>
  <c r="C66" i="9"/>
  <c r="B66" i="9"/>
  <c r="G65" i="9"/>
  <c r="F65" i="9"/>
  <c r="E65" i="9"/>
  <c r="C65" i="9"/>
  <c r="B65" i="9"/>
  <c r="F64" i="9"/>
  <c r="E64" i="9"/>
  <c r="C64" i="9"/>
  <c r="B64" i="9"/>
  <c r="G63" i="9"/>
  <c r="F63" i="9"/>
  <c r="E63" i="9"/>
  <c r="C63" i="9"/>
  <c r="B63" i="9"/>
  <c r="G62" i="9"/>
  <c r="F62" i="9"/>
  <c r="E62" i="9"/>
  <c r="C62" i="9"/>
  <c r="B62" i="9"/>
  <c r="F61" i="9"/>
  <c r="E61" i="9"/>
  <c r="C61" i="9"/>
  <c r="B61" i="9"/>
  <c r="F60" i="9"/>
  <c r="E60" i="9"/>
  <c r="C60" i="9"/>
  <c r="B60" i="9"/>
  <c r="G59" i="9"/>
  <c r="F59" i="9"/>
  <c r="E59" i="9"/>
  <c r="C59" i="9"/>
  <c r="B59" i="9"/>
  <c r="G58" i="9"/>
  <c r="F58" i="9"/>
  <c r="E58" i="9"/>
  <c r="C58" i="9"/>
  <c r="B58" i="9"/>
  <c r="F57" i="9"/>
  <c r="E57" i="9"/>
  <c r="C57" i="9"/>
  <c r="B57" i="9"/>
  <c r="G56" i="9"/>
  <c r="F56" i="9"/>
  <c r="E56" i="9"/>
  <c r="C56" i="9"/>
  <c r="B56" i="9"/>
  <c r="G55" i="9"/>
  <c r="F55" i="9"/>
  <c r="E55" i="9"/>
  <c r="C55" i="9"/>
  <c r="B55" i="9"/>
  <c r="G54" i="9"/>
  <c r="F54" i="9"/>
  <c r="E54" i="9"/>
  <c r="C54" i="9"/>
  <c r="B54" i="9"/>
  <c r="G53" i="9"/>
  <c r="F53" i="9"/>
  <c r="E53" i="9"/>
  <c r="C53" i="9"/>
  <c r="B53" i="9"/>
  <c r="G52" i="9"/>
  <c r="F52" i="9"/>
  <c r="E52" i="9"/>
  <c r="C52" i="9"/>
  <c r="B52" i="9"/>
  <c r="G51" i="9"/>
  <c r="F51" i="9"/>
  <c r="E51" i="9"/>
  <c r="C51" i="9"/>
  <c r="B51" i="9"/>
  <c r="A50" i="9"/>
  <c r="G49" i="9"/>
  <c r="F49" i="9"/>
  <c r="E49" i="9"/>
  <c r="C49" i="9"/>
  <c r="B49" i="9"/>
  <c r="G48" i="9"/>
  <c r="F48" i="9"/>
  <c r="E48" i="9"/>
  <c r="C48" i="9"/>
  <c r="B48" i="9"/>
  <c r="G47" i="9"/>
  <c r="F47" i="9"/>
  <c r="E47" i="9"/>
  <c r="C47" i="9"/>
  <c r="B47" i="9"/>
  <c r="G46" i="9"/>
  <c r="F46" i="9"/>
  <c r="E46" i="9"/>
  <c r="C46" i="9"/>
  <c r="B46" i="9"/>
  <c r="G45" i="9"/>
  <c r="F45" i="9"/>
  <c r="E45" i="9"/>
  <c r="C45" i="9"/>
  <c r="B45" i="9"/>
  <c r="F44" i="9"/>
  <c r="E44" i="9"/>
  <c r="C44" i="9"/>
  <c r="B44" i="9"/>
  <c r="G43" i="9"/>
  <c r="F43" i="9"/>
  <c r="E43" i="9"/>
  <c r="C43" i="9"/>
  <c r="B43" i="9"/>
  <c r="A42" i="9"/>
  <c r="F41" i="9"/>
  <c r="E41" i="9"/>
  <c r="C41" i="9"/>
  <c r="B41" i="9"/>
  <c r="G40" i="9"/>
  <c r="F40" i="9"/>
  <c r="E40" i="9"/>
  <c r="C40" i="9"/>
  <c r="B40" i="9"/>
  <c r="G39" i="9"/>
  <c r="F39" i="9"/>
  <c r="E39" i="9"/>
  <c r="C39" i="9"/>
  <c r="B39" i="9"/>
  <c r="G38" i="9"/>
  <c r="F38" i="9"/>
  <c r="E38" i="9"/>
  <c r="C38" i="9"/>
  <c r="B38" i="9"/>
  <c r="G37" i="9"/>
  <c r="F37" i="9"/>
  <c r="E37" i="9"/>
  <c r="C37" i="9"/>
  <c r="B37" i="9"/>
  <c r="G36" i="9"/>
  <c r="F36" i="9"/>
  <c r="E36" i="9"/>
  <c r="C36" i="9"/>
  <c r="B36" i="9"/>
  <c r="F35" i="9"/>
  <c r="E35" i="9"/>
  <c r="C35" i="9"/>
  <c r="B35" i="9"/>
  <c r="G34" i="9"/>
  <c r="F34" i="9"/>
  <c r="E34" i="9"/>
  <c r="C34" i="9"/>
  <c r="B34" i="9"/>
  <c r="G33" i="9"/>
  <c r="F33" i="9"/>
  <c r="E33" i="9"/>
  <c r="C33" i="9"/>
  <c r="B33" i="9"/>
  <c r="G32" i="9"/>
  <c r="F32" i="9"/>
  <c r="E32" i="9"/>
  <c r="C32" i="9"/>
  <c r="B32" i="9"/>
  <c r="F31" i="9"/>
  <c r="E31" i="9"/>
  <c r="C31" i="9"/>
  <c r="B31" i="9"/>
  <c r="F30" i="9"/>
  <c r="E30" i="9"/>
  <c r="C30" i="9"/>
  <c r="B30" i="9"/>
  <c r="G29" i="9"/>
  <c r="F29" i="9"/>
  <c r="E29" i="9"/>
  <c r="C29" i="9"/>
  <c r="B29" i="9"/>
  <c r="A28" i="9"/>
  <c r="F27" i="9"/>
  <c r="E27" i="9"/>
  <c r="C27" i="9"/>
  <c r="B27" i="9"/>
  <c r="G26" i="9"/>
  <c r="F26" i="9"/>
  <c r="E26" i="9"/>
  <c r="C26" i="9"/>
  <c r="B26" i="9"/>
  <c r="A25" i="9"/>
  <c r="G24" i="9"/>
  <c r="F24" i="9"/>
  <c r="E24" i="9"/>
  <c r="C24" i="9"/>
  <c r="B24" i="9"/>
  <c r="G23" i="9"/>
  <c r="F23" i="9"/>
  <c r="E23" i="9"/>
  <c r="C23" i="9"/>
  <c r="B23" i="9"/>
  <c r="G22" i="9"/>
  <c r="F22" i="9"/>
  <c r="E22" i="9"/>
  <c r="C22" i="9"/>
  <c r="B22" i="9"/>
  <c r="G21" i="9"/>
  <c r="F21" i="9"/>
  <c r="E21" i="9"/>
  <c r="C21" i="9"/>
  <c r="B21" i="9"/>
  <c r="G20" i="9"/>
  <c r="F20" i="9"/>
  <c r="E20" i="9"/>
  <c r="C20" i="9"/>
  <c r="B20" i="9"/>
  <c r="A19" i="9"/>
  <c r="A18" i="9"/>
  <c r="B13" i="9"/>
  <c r="B12" i="9"/>
  <c r="A1" i="9"/>
  <c r="A292" i="7"/>
  <c r="A242" i="7"/>
  <c r="A238" i="7"/>
  <c r="A171" i="7"/>
  <c r="A115" i="7"/>
  <c r="A99" i="7"/>
  <c r="D91" i="7"/>
  <c r="A50" i="7"/>
  <c r="A30" i="7"/>
  <c r="A9" i="7"/>
  <c r="A8" i="7"/>
  <c r="A3" i="7"/>
  <c r="Z385" i="8"/>
  <c r="Q385" i="8"/>
  <c r="T385" i="8" s="1"/>
  <c r="S385" i="8"/>
  <c r="P385" i="8"/>
  <c r="O385" i="8"/>
  <c r="H299" i="7" s="1"/>
  <c r="M385" i="8"/>
  <c r="F299" i="7" s="1"/>
  <c r="L385" i="8"/>
  <c r="N385" i="8"/>
  <c r="G299" i="7" s="1"/>
  <c r="K385" i="8"/>
  <c r="E299" i="7" s="1"/>
  <c r="J385" i="8"/>
  <c r="I385" i="8"/>
  <c r="D299" i="7" s="1"/>
  <c r="H385" i="8"/>
  <c r="G385" i="8"/>
  <c r="F385" i="8"/>
  <c r="E385" i="8"/>
  <c r="Z384" i="8"/>
  <c r="Q384" i="8"/>
  <c r="T384" i="8" s="1"/>
  <c r="S384" i="8"/>
  <c r="P384" i="8"/>
  <c r="O384" i="8"/>
  <c r="H307" i="7" s="1"/>
  <c r="L384" i="8"/>
  <c r="M384" i="8" s="1"/>
  <c r="F307" i="7" s="1"/>
  <c r="N384" i="8"/>
  <c r="G307" i="7" s="1"/>
  <c r="K384" i="8"/>
  <c r="E307" i="7" s="1"/>
  <c r="J384" i="8"/>
  <c r="I384" i="8"/>
  <c r="D307" i="7" s="1"/>
  <c r="H384" i="8"/>
  <c r="G384" i="8"/>
  <c r="F384" i="8"/>
  <c r="E384" i="8"/>
  <c r="Z383" i="8"/>
  <c r="Q383" i="8"/>
  <c r="S383" i="8"/>
  <c r="P383" i="8"/>
  <c r="L383" i="8"/>
  <c r="O383" i="8" s="1"/>
  <c r="N383" i="8"/>
  <c r="K383" i="8"/>
  <c r="J383" i="8"/>
  <c r="I383" i="8"/>
  <c r="H383" i="8"/>
  <c r="G383" i="8"/>
  <c r="F383" i="8"/>
  <c r="E383" i="8"/>
  <c r="Z382" i="8"/>
  <c r="R382" i="8"/>
  <c r="Q382" i="8"/>
  <c r="T382" i="8" s="1"/>
  <c r="S382" i="8"/>
  <c r="P382" i="8"/>
  <c r="L382" i="8"/>
  <c r="O382" i="8" s="1"/>
  <c r="H320" i="7" s="1"/>
  <c r="N382" i="8"/>
  <c r="G320" i="7" s="1"/>
  <c r="K382" i="8"/>
  <c r="E320" i="7" s="1"/>
  <c r="J382" i="8"/>
  <c r="I382" i="8"/>
  <c r="D320" i="7" s="1"/>
  <c r="H382" i="8"/>
  <c r="G382" i="8"/>
  <c r="F382" i="8"/>
  <c r="E382" i="8"/>
  <c r="Z381" i="8"/>
  <c r="T381" i="8"/>
  <c r="Q381" i="8"/>
  <c r="R381" i="8" s="1"/>
  <c r="S381" i="8"/>
  <c r="P381" i="8"/>
  <c r="O381" i="8"/>
  <c r="M381" i="8"/>
  <c r="L381" i="8"/>
  <c r="N381" i="8"/>
  <c r="K381" i="8"/>
  <c r="J381" i="8"/>
  <c r="I381" i="8"/>
  <c r="H381" i="8"/>
  <c r="G381" i="8"/>
  <c r="F381" i="8"/>
  <c r="E381" i="8"/>
  <c r="Z380" i="8"/>
  <c r="T380" i="8"/>
  <c r="R380" i="8"/>
  <c r="Q380" i="8"/>
  <c r="S380" i="8"/>
  <c r="P380" i="8"/>
  <c r="L380" i="8"/>
  <c r="N380" i="8"/>
  <c r="G302" i="7" s="1"/>
  <c r="K380" i="8"/>
  <c r="E302" i="7" s="1"/>
  <c r="J380" i="8"/>
  <c r="I380" i="8"/>
  <c r="D302" i="7" s="1"/>
  <c r="H380" i="8"/>
  <c r="G380" i="8"/>
  <c r="F380" i="8"/>
  <c r="E380" i="8"/>
  <c r="Z379" i="8"/>
  <c r="T379" i="8"/>
  <c r="Q379" i="8"/>
  <c r="R379" i="8" s="1"/>
  <c r="S379" i="8"/>
  <c r="P379" i="8"/>
  <c r="M379" i="8"/>
  <c r="L379" i="8"/>
  <c r="O379" i="8" s="1"/>
  <c r="N379" i="8"/>
  <c r="K379" i="8"/>
  <c r="J379" i="8"/>
  <c r="I379" i="8"/>
  <c r="H379" i="8"/>
  <c r="G379" i="8"/>
  <c r="F379" i="8"/>
  <c r="E379" i="8"/>
  <c r="Z378" i="8"/>
  <c r="Q378" i="8"/>
  <c r="T378" i="8" s="1"/>
  <c r="S378" i="8"/>
  <c r="P378" i="8"/>
  <c r="O378" i="8"/>
  <c r="L378" i="8"/>
  <c r="M378" i="8" s="1"/>
  <c r="N378" i="8"/>
  <c r="K378" i="8"/>
  <c r="J378" i="8"/>
  <c r="I378" i="8"/>
  <c r="H378" i="8"/>
  <c r="G378" i="8"/>
  <c r="F378" i="8"/>
  <c r="E378" i="8"/>
  <c r="Z377" i="8"/>
  <c r="R377" i="8"/>
  <c r="Q377" i="8"/>
  <c r="T377" i="8" s="1"/>
  <c r="S377" i="8"/>
  <c r="P377" i="8"/>
  <c r="O377" i="8"/>
  <c r="M377" i="8"/>
  <c r="L377" i="8"/>
  <c r="N377" i="8"/>
  <c r="K377" i="8"/>
  <c r="J377" i="8"/>
  <c r="I377" i="8"/>
  <c r="H377" i="8"/>
  <c r="G377" i="8"/>
  <c r="F377" i="8"/>
  <c r="E377" i="8"/>
  <c r="Z376" i="8"/>
  <c r="T376" i="8"/>
  <c r="R376" i="8"/>
  <c r="Q376" i="8"/>
  <c r="S376" i="8"/>
  <c r="P376" i="8"/>
  <c r="O376" i="8"/>
  <c r="H317" i="7" s="1"/>
  <c r="L376" i="8"/>
  <c r="M376" i="8" s="1"/>
  <c r="F317" i="7" s="1"/>
  <c r="N376" i="8"/>
  <c r="G317" i="7" s="1"/>
  <c r="K376" i="8"/>
  <c r="E317" i="7" s="1"/>
  <c r="J376" i="8"/>
  <c r="I376" i="8"/>
  <c r="D317" i="7" s="1"/>
  <c r="H376" i="8"/>
  <c r="G376" i="8"/>
  <c r="F376" i="8"/>
  <c r="E376" i="8"/>
  <c r="Z375" i="8"/>
  <c r="Q375" i="8"/>
  <c r="S375" i="8"/>
  <c r="P375" i="8"/>
  <c r="L375" i="8"/>
  <c r="O375" i="8" s="1"/>
  <c r="H326" i="7" s="1"/>
  <c r="N375" i="8"/>
  <c r="G326" i="7" s="1"/>
  <c r="K375" i="8"/>
  <c r="E326" i="7" s="1"/>
  <c r="J375" i="8"/>
  <c r="I375" i="8"/>
  <c r="D326" i="7" s="1"/>
  <c r="H375" i="8"/>
  <c r="G375" i="8"/>
  <c r="F375" i="8"/>
  <c r="E375" i="8"/>
  <c r="Z374" i="8"/>
  <c r="R374" i="8"/>
  <c r="Q374" i="8"/>
  <c r="T374" i="8" s="1"/>
  <c r="S374" i="8"/>
  <c r="P374" i="8"/>
  <c r="M374" i="8"/>
  <c r="L374" i="8"/>
  <c r="O374" i="8" s="1"/>
  <c r="N374" i="8"/>
  <c r="K374" i="8"/>
  <c r="J374" i="8"/>
  <c r="I374" i="8"/>
  <c r="H374" i="8"/>
  <c r="G374" i="8"/>
  <c r="F374" i="8"/>
  <c r="E374" i="8"/>
  <c r="Z373" i="8"/>
  <c r="T373" i="8"/>
  <c r="Q373" i="8"/>
  <c r="R373" i="8" s="1"/>
  <c r="S373" i="8"/>
  <c r="P373" i="8"/>
  <c r="O373" i="8"/>
  <c r="H297" i="7" s="1"/>
  <c r="M373" i="8"/>
  <c r="F297" i="7" s="1"/>
  <c r="L373" i="8"/>
  <c r="N373" i="8"/>
  <c r="G297" i="7" s="1"/>
  <c r="K373" i="8"/>
  <c r="E297" i="7" s="1"/>
  <c r="J373" i="8"/>
  <c r="I373" i="8"/>
  <c r="D297" i="7" s="1"/>
  <c r="H373" i="8"/>
  <c r="G373" i="8"/>
  <c r="F373" i="8"/>
  <c r="E373" i="8"/>
  <c r="Z372" i="8"/>
  <c r="T372" i="8"/>
  <c r="R372" i="8"/>
  <c r="Q372" i="8"/>
  <c r="S372" i="8"/>
  <c r="P372" i="8"/>
  <c r="L372" i="8"/>
  <c r="N372" i="8"/>
  <c r="G310" i="7" s="1"/>
  <c r="K372" i="8"/>
  <c r="E310" i="7" s="1"/>
  <c r="J372" i="8"/>
  <c r="I372" i="8"/>
  <c r="D310" i="7" s="1"/>
  <c r="H372" i="8"/>
  <c r="G372" i="8"/>
  <c r="F372" i="8"/>
  <c r="E372" i="8"/>
  <c r="Z371" i="8"/>
  <c r="T371" i="8"/>
  <c r="Q371" i="8"/>
  <c r="R371" i="8" s="1"/>
  <c r="S371" i="8"/>
  <c r="P371" i="8"/>
  <c r="M371" i="8"/>
  <c r="L371" i="8"/>
  <c r="O371" i="8" s="1"/>
  <c r="N371" i="8"/>
  <c r="K371" i="8"/>
  <c r="J371" i="8"/>
  <c r="I371" i="8"/>
  <c r="H371" i="8"/>
  <c r="G371" i="8"/>
  <c r="F371" i="8"/>
  <c r="E371" i="8"/>
  <c r="Z370" i="8"/>
  <c r="Q370" i="8"/>
  <c r="T370" i="8" s="1"/>
  <c r="S370" i="8"/>
  <c r="P370" i="8"/>
  <c r="O370" i="8"/>
  <c r="H315" i="7" s="1"/>
  <c r="L370" i="8"/>
  <c r="M370" i="8" s="1"/>
  <c r="F315" i="7" s="1"/>
  <c r="N370" i="8"/>
  <c r="G315" i="7" s="1"/>
  <c r="K370" i="8"/>
  <c r="E315" i="7" s="1"/>
  <c r="J370" i="8"/>
  <c r="I370" i="8"/>
  <c r="D315" i="7" s="1"/>
  <c r="H370" i="8"/>
  <c r="G370" i="8"/>
  <c r="F370" i="8"/>
  <c r="E370" i="8"/>
  <c r="Z369" i="8"/>
  <c r="R369" i="8"/>
  <c r="Q369" i="8"/>
  <c r="T369" i="8" s="1"/>
  <c r="S369" i="8"/>
  <c r="P369" i="8"/>
  <c r="O369" i="8"/>
  <c r="H316" i="7" s="1"/>
  <c r="M369" i="8"/>
  <c r="F316" i="7" s="1"/>
  <c r="L369" i="8"/>
  <c r="N369" i="8"/>
  <c r="G316" i="7" s="1"/>
  <c r="K369" i="8"/>
  <c r="E316" i="7" s="1"/>
  <c r="J369" i="8"/>
  <c r="I369" i="8"/>
  <c r="D316" i="7" s="1"/>
  <c r="H369" i="8"/>
  <c r="G369" i="8"/>
  <c r="F369" i="8"/>
  <c r="E369" i="8"/>
  <c r="Z368" i="8"/>
  <c r="T368" i="8"/>
  <c r="R368" i="8"/>
  <c r="Q368" i="8"/>
  <c r="S368" i="8"/>
  <c r="P368" i="8"/>
  <c r="O368" i="8"/>
  <c r="H319" i="7" s="1"/>
  <c r="L368" i="8"/>
  <c r="M368" i="8" s="1"/>
  <c r="F319" i="7" s="1"/>
  <c r="N368" i="8"/>
  <c r="G319" i="7" s="1"/>
  <c r="K368" i="8"/>
  <c r="E319" i="7" s="1"/>
  <c r="J368" i="8"/>
  <c r="I368" i="8"/>
  <c r="D319" i="7" s="1"/>
  <c r="H368" i="8"/>
  <c r="G368" i="8"/>
  <c r="F368" i="8"/>
  <c r="E368" i="8"/>
  <c r="Z367" i="8"/>
  <c r="Q367" i="8"/>
  <c r="S367" i="8"/>
  <c r="P367" i="8"/>
  <c r="L367" i="8"/>
  <c r="O367" i="8" s="1"/>
  <c r="H329" i="7" s="1"/>
  <c r="N367" i="8"/>
  <c r="G329" i="7" s="1"/>
  <c r="K367" i="8"/>
  <c r="E329" i="7" s="1"/>
  <c r="J367" i="8"/>
  <c r="I367" i="8"/>
  <c r="D329" i="7" s="1"/>
  <c r="H367" i="8"/>
  <c r="G367" i="8"/>
  <c r="F367" i="8"/>
  <c r="E367" i="8"/>
  <c r="Z366" i="8"/>
  <c r="R366" i="8"/>
  <c r="Q366" i="8"/>
  <c r="T366" i="8" s="1"/>
  <c r="S366" i="8"/>
  <c r="P366" i="8"/>
  <c r="M366" i="8"/>
  <c r="F333" i="7" s="1"/>
  <c r="L366" i="8"/>
  <c r="O366" i="8" s="1"/>
  <c r="H333" i="7" s="1"/>
  <c r="N366" i="8"/>
  <c r="G333" i="7" s="1"/>
  <c r="K366" i="8"/>
  <c r="E333" i="7" s="1"/>
  <c r="J366" i="8"/>
  <c r="I366" i="8"/>
  <c r="D333" i="7" s="1"/>
  <c r="H366" i="8"/>
  <c r="G366" i="8"/>
  <c r="F366" i="8"/>
  <c r="E366" i="8"/>
  <c r="Z365" i="8"/>
  <c r="T365" i="8"/>
  <c r="Q365" i="8"/>
  <c r="R365" i="8" s="1"/>
  <c r="S365" i="8"/>
  <c r="P365" i="8"/>
  <c r="O365" i="8"/>
  <c r="H296" i="7" s="1"/>
  <c r="M365" i="8"/>
  <c r="F296" i="7" s="1"/>
  <c r="L365" i="8"/>
  <c r="N365" i="8"/>
  <c r="G296" i="7" s="1"/>
  <c r="K365" i="8"/>
  <c r="E296" i="7" s="1"/>
  <c r="J365" i="8"/>
  <c r="I365" i="8"/>
  <c r="D296" i="7" s="1"/>
  <c r="H365" i="8"/>
  <c r="G365" i="8"/>
  <c r="F365" i="8"/>
  <c r="E365" i="8"/>
  <c r="Z364" i="8"/>
  <c r="T364" i="8"/>
  <c r="R364" i="8"/>
  <c r="Q364" i="8"/>
  <c r="S364" i="8"/>
  <c r="P364" i="8"/>
  <c r="L364" i="8"/>
  <c r="N364" i="8"/>
  <c r="G308" i="7" s="1"/>
  <c r="K364" i="8"/>
  <c r="E308" i="7" s="1"/>
  <c r="J364" i="8"/>
  <c r="I364" i="8"/>
  <c r="D308" i="7" s="1"/>
  <c r="H364" i="8"/>
  <c r="G364" i="8"/>
  <c r="F364" i="8"/>
  <c r="E364" i="8"/>
  <c r="Z363" i="8"/>
  <c r="T363" i="8"/>
  <c r="Q363" i="8"/>
  <c r="R363" i="8" s="1"/>
  <c r="S363" i="8"/>
  <c r="P363" i="8"/>
  <c r="M363" i="8"/>
  <c r="F311" i="7" s="1"/>
  <c r="L363" i="8"/>
  <c r="O363" i="8" s="1"/>
  <c r="H311" i="7" s="1"/>
  <c r="N363" i="8"/>
  <c r="G311" i="7" s="1"/>
  <c r="K363" i="8"/>
  <c r="E311" i="7" s="1"/>
  <c r="J363" i="8"/>
  <c r="I363" i="8"/>
  <c r="D311" i="7" s="1"/>
  <c r="H363" i="8"/>
  <c r="G363" i="8"/>
  <c r="F363" i="8"/>
  <c r="E363" i="8"/>
  <c r="Z362" i="8"/>
  <c r="Q362" i="8"/>
  <c r="T362" i="8" s="1"/>
  <c r="S362" i="8"/>
  <c r="P362" i="8"/>
  <c r="O362" i="8"/>
  <c r="L362" i="8"/>
  <c r="M362" i="8" s="1"/>
  <c r="N362" i="8"/>
  <c r="K362" i="8"/>
  <c r="J362" i="8"/>
  <c r="I362" i="8"/>
  <c r="H362" i="8"/>
  <c r="G362" i="8"/>
  <c r="F362" i="8"/>
  <c r="E362" i="8"/>
  <c r="Z361" i="8"/>
  <c r="R361" i="8"/>
  <c r="Q361" i="8"/>
  <c r="T361" i="8" s="1"/>
  <c r="S361" i="8"/>
  <c r="P361" i="8"/>
  <c r="O361" i="8"/>
  <c r="H318" i="7" s="1"/>
  <c r="M361" i="8"/>
  <c r="F318" i="7" s="1"/>
  <c r="L361" i="8"/>
  <c r="N361" i="8"/>
  <c r="G318" i="7" s="1"/>
  <c r="K361" i="8"/>
  <c r="E318" i="7" s="1"/>
  <c r="J361" i="8"/>
  <c r="I361" i="8"/>
  <c r="D318" i="7" s="1"/>
  <c r="H361" i="8"/>
  <c r="G361" i="8"/>
  <c r="F361" i="8"/>
  <c r="E361" i="8"/>
  <c r="Z360" i="8"/>
  <c r="T360" i="8"/>
  <c r="R360" i="8"/>
  <c r="Q360" i="8"/>
  <c r="S360" i="8"/>
  <c r="P360" i="8"/>
  <c r="O360" i="8"/>
  <c r="H322" i="7" s="1"/>
  <c r="L360" i="8"/>
  <c r="M360" i="8" s="1"/>
  <c r="F322" i="7" s="1"/>
  <c r="N360" i="8"/>
  <c r="G322" i="7" s="1"/>
  <c r="K360" i="8"/>
  <c r="E322" i="7" s="1"/>
  <c r="J360" i="8"/>
  <c r="I360" i="8"/>
  <c r="D322" i="7" s="1"/>
  <c r="H360" i="8"/>
  <c r="G360" i="8"/>
  <c r="F360" i="8"/>
  <c r="E360" i="8"/>
  <c r="Z359" i="8"/>
  <c r="Q359" i="8"/>
  <c r="S359" i="8"/>
  <c r="P359" i="8"/>
  <c r="L359" i="8"/>
  <c r="O359" i="8" s="1"/>
  <c r="H323" i="7" s="1"/>
  <c r="N359" i="8"/>
  <c r="G323" i="7" s="1"/>
  <c r="K359" i="8"/>
  <c r="E323" i="7" s="1"/>
  <c r="J359" i="8"/>
  <c r="I359" i="8"/>
  <c r="D323" i="7" s="1"/>
  <c r="H359" i="8"/>
  <c r="G359" i="8"/>
  <c r="F359" i="8"/>
  <c r="E359" i="8"/>
  <c r="Z358" i="8"/>
  <c r="R358" i="8"/>
  <c r="Q358" i="8"/>
  <c r="T358" i="8" s="1"/>
  <c r="S358" i="8"/>
  <c r="P358" i="8"/>
  <c r="M358" i="8"/>
  <c r="F324" i="7" s="1"/>
  <c r="L358" i="8"/>
  <c r="O358" i="8" s="1"/>
  <c r="H324" i="7" s="1"/>
  <c r="N358" i="8"/>
  <c r="G324" i="7" s="1"/>
  <c r="K358" i="8"/>
  <c r="E324" i="7" s="1"/>
  <c r="J358" i="8"/>
  <c r="I358" i="8"/>
  <c r="D324" i="7" s="1"/>
  <c r="H358" i="8"/>
  <c r="G358" i="8"/>
  <c r="F358" i="8"/>
  <c r="E358" i="8"/>
  <c r="Z357" i="8"/>
  <c r="T357" i="8"/>
  <c r="Q357" i="8"/>
  <c r="R357" i="8" s="1"/>
  <c r="S357" i="8"/>
  <c r="P357" i="8"/>
  <c r="O357" i="8"/>
  <c r="H325" i="7" s="1"/>
  <c r="M357" i="8"/>
  <c r="F325" i="7" s="1"/>
  <c r="L357" i="8"/>
  <c r="N357" i="8"/>
  <c r="G325" i="7" s="1"/>
  <c r="K357" i="8"/>
  <c r="E325" i="7" s="1"/>
  <c r="J357" i="8"/>
  <c r="I357" i="8"/>
  <c r="D325" i="7" s="1"/>
  <c r="H357" i="8"/>
  <c r="G357" i="8"/>
  <c r="F357" i="8"/>
  <c r="E357" i="8"/>
  <c r="Z356" i="8"/>
  <c r="T356" i="8"/>
  <c r="R356" i="8"/>
  <c r="Q356" i="8"/>
  <c r="S356" i="8"/>
  <c r="P356" i="8"/>
  <c r="L356" i="8"/>
  <c r="N356" i="8"/>
  <c r="G328" i="7" s="1"/>
  <c r="K356" i="8"/>
  <c r="E328" i="7" s="1"/>
  <c r="J356" i="8"/>
  <c r="I356" i="8"/>
  <c r="D328" i="7" s="1"/>
  <c r="H356" i="8"/>
  <c r="G356" i="8"/>
  <c r="F356" i="8"/>
  <c r="E356" i="8"/>
  <c r="Z355" i="8"/>
  <c r="T355" i="8"/>
  <c r="Q355" i="8"/>
  <c r="R355" i="8" s="1"/>
  <c r="S355" i="8"/>
  <c r="P355" i="8"/>
  <c r="M355" i="8"/>
  <c r="F330" i="7" s="1"/>
  <c r="L355" i="8"/>
  <c r="O355" i="8" s="1"/>
  <c r="N355" i="8"/>
  <c r="G330" i="7" s="1"/>
  <c r="K355" i="8"/>
  <c r="E330" i="7" s="1"/>
  <c r="J355" i="8"/>
  <c r="I355" i="8"/>
  <c r="D330" i="7" s="1"/>
  <c r="H355" i="8"/>
  <c r="G355" i="8"/>
  <c r="F355" i="8"/>
  <c r="E355" i="8"/>
  <c r="Z354" i="8"/>
  <c r="Q354" i="8"/>
  <c r="T354" i="8" s="1"/>
  <c r="S354" i="8"/>
  <c r="P354" i="8"/>
  <c r="O354" i="8"/>
  <c r="H331" i="7" s="1"/>
  <c r="L354" i="8"/>
  <c r="M354" i="8" s="1"/>
  <c r="F331" i="7" s="1"/>
  <c r="N354" i="8"/>
  <c r="G331" i="7" s="1"/>
  <c r="K354" i="8"/>
  <c r="E331" i="7" s="1"/>
  <c r="J354" i="8"/>
  <c r="I354" i="8"/>
  <c r="D331" i="7" s="1"/>
  <c r="H354" i="8"/>
  <c r="G354" i="8"/>
  <c r="F354" i="8"/>
  <c r="E354" i="8"/>
  <c r="Z353" i="8"/>
  <c r="R353" i="8"/>
  <c r="Q353" i="8"/>
  <c r="T353" i="8" s="1"/>
  <c r="S353" i="8"/>
  <c r="P353" i="8"/>
  <c r="O353" i="8"/>
  <c r="H332" i="7" s="1"/>
  <c r="M353" i="8"/>
  <c r="F332" i="7" s="1"/>
  <c r="L353" i="8"/>
  <c r="N353" i="8"/>
  <c r="G332" i="7" s="1"/>
  <c r="K353" i="8"/>
  <c r="E332" i="7" s="1"/>
  <c r="J353" i="8"/>
  <c r="I353" i="8"/>
  <c r="D332" i="7" s="1"/>
  <c r="H353" i="8"/>
  <c r="G353" i="8"/>
  <c r="F353" i="8"/>
  <c r="E353" i="8"/>
  <c r="Z352" i="8"/>
  <c r="S352" i="8"/>
  <c r="P352" i="8"/>
  <c r="R352" i="8" s="1"/>
  <c r="N352" i="8"/>
  <c r="G339" i="7" s="1"/>
  <c r="K352" i="8"/>
  <c r="E339" i="7" s="1"/>
  <c r="I352" i="8"/>
  <c r="D339" i="7" s="1"/>
  <c r="H352" i="8"/>
  <c r="G352" i="8"/>
  <c r="F352" i="8"/>
  <c r="E352" i="8"/>
  <c r="D352" i="8"/>
  <c r="A352" i="8"/>
  <c r="Z351" i="8"/>
  <c r="S351" i="8"/>
  <c r="P351" i="8"/>
  <c r="R351" i="8" s="1"/>
  <c r="N351" i="8"/>
  <c r="G340" i="7" s="1"/>
  <c r="K351" i="8"/>
  <c r="E340" i="7" s="1"/>
  <c r="I351" i="8"/>
  <c r="D340" i="7" s="1"/>
  <c r="H351" i="8"/>
  <c r="G351" i="8"/>
  <c r="F351" i="8"/>
  <c r="E351" i="8"/>
  <c r="D351" i="8"/>
  <c r="A351" i="8"/>
  <c r="Z350" i="8"/>
  <c r="T350" i="8"/>
  <c r="R350" i="8"/>
  <c r="Q350" i="8"/>
  <c r="S350" i="8"/>
  <c r="P350" i="8"/>
  <c r="O350" i="8"/>
  <c r="H298" i="7" s="1"/>
  <c r="L350" i="8"/>
  <c r="M350" i="8" s="1"/>
  <c r="F298" i="7" s="1"/>
  <c r="N350" i="8"/>
  <c r="G298" i="7" s="1"/>
  <c r="K350" i="8"/>
  <c r="E298" i="7" s="1"/>
  <c r="J350" i="8"/>
  <c r="I350" i="8"/>
  <c r="D298" i="7" s="1"/>
  <c r="H350" i="8"/>
  <c r="G350" i="8"/>
  <c r="F350" i="8"/>
  <c r="E350" i="8"/>
  <c r="Z349" i="8"/>
  <c r="Q349" i="8"/>
  <c r="S349" i="8"/>
  <c r="P349" i="8"/>
  <c r="L349" i="8"/>
  <c r="O349" i="8" s="1"/>
  <c r="H303" i="7" s="1"/>
  <c r="N349" i="8"/>
  <c r="G303" i="7" s="1"/>
  <c r="K349" i="8"/>
  <c r="E303" i="7" s="1"/>
  <c r="J349" i="8"/>
  <c r="I349" i="8"/>
  <c r="D303" i="7" s="1"/>
  <c r="H349" i="8"/>
  <c r="G349" i="8"/>
  <c r="F349" i="8"/>
  <c r="E349" i="8"/>
  <c r="Z348" i="8"/>
  <c r="R348" i="8"/>
  <c r="Q348" i="8"/>
  <c r="T348" i="8" s="1"/>
  <c r="S348" i="8"/>
  <c r="P348" i="8"/>
  <c r="M348" i="8"/>
  <c r="L348" i="8"/>
  <c r="O348" i="8" s="1"/>
  <c r="N348" i="8"/>
  <c r="K348" i="8"/>
  <c r="J348" i="8"/>
  <c r="I348" i="8"/>
  <c r="H348" i="8"/>
  <c r="G348" i="8"/>
  <c r="F348" i="8"/>
  <c r="E348" i="8"/>
  <c r="Z347" i="8"/>
  <c r="T347" i="8"/>
  <c r="Q347" i="8"/>
  <c r="R347" i="8" s="1"/>
  <c r="S347" i="8"/>
  <c r="P347" i="8"/>
  <c r="O347" i="8"/>
  <c r="H305" i="7" s="1"/>
  <c r="M347" i="8"/>
  <c r="F305" i="7" s="1"/>
  <c r="L347" i="8"/>
  <c r="N347" i="8"/>
  <c r="G305" i="7" s="1"/>
  <c r="K347" i="8"/>
  <c r="E305" i="7" s="1"/>
  <c r="J347" i="8"/>
  <c r="I347" i="8"/>
  <c r="D305" i="7" s="1"/>
  <c r="H347" i="8"/>
  <c r="G347" i="8"/>
  <c r="F347" i="8"/>
  <c r="E347" i="8"/>
  <c r="Z346" i="8"/>
  <c r="T346" i="8"/>
  <c r="R346" i="8"/>
  <c r="Q346" i="8"/>
  <c r="S346" i="8"/>
  <c r="P346" i="8"/>
  <c r="L346" i="8"/>
  <c r="N346" i="8"/>
  <c r="G309" i="7" s="1"/>
  <c r="K346" i="8"/>
  <c r="E309" i="7" s="1"/>
  <c r="J346" i="8"/>
  <c r="I346" i="8"/>
  <c r="D309" i="7" s="1"/>
  <c r="H346" i="8"/>
  <c r="G346" i="8"/>
  <c r="F346" i="8"/>
  <c r="E346" i="8"/>
  <c r="Z345" i="8"/>
  <c r="T345" i="8"/>
  <c r="Q345" i="8"/>
  <c r="R345" i="8" s="1"/>
  <c r="S345" i="8"/>
  <c r="P345" i="8"/>
  <c r="M345" i="8"/>
  <c r="L345" i="8"/>
  <c r="O345" i="8" s="1"/>
  <c r="H312" i="7" s="1"/>
  <c r="N345" i="8"/>
  <c r="G312" i="7" s="1"/>
  <c r="K345" i="8"/>
  <c r="E312" i="7" s="1"/>
  <c r="J345" i="8"/>
  <c r="I345" i="8"/>
  <c r="D312" i="7" s="1"/>
  <c r="H345" i="8"/>
  <c r="G345" i="8"/>
  <c r="F345" i="8"/>
  <c r="E345" i="8"/>
  <c r="Z344" i="8"/>
  <c r="Q344" i="8"/>
  <c r="T344" i="8" s="1"/>
  <c r="S344" i="8"/>
  <c r="P344" i="8"/>
  <c r="O344" i="8"/>
  <c r="H321" i="7" s="1"/>
  <c r="L344" i="8"/>
  <c r="M344" i="8" s="1"/>
  <c r="F321" i="7" s="1"/>
  <c r="N344" i="8"/>
  <c r="G321" i="7" s="1"/>
  <c r="K344" i="8"/>
  <c r="E321" i="7" s="1"/>
  <c r="J344" i="8"/>
  <c r="I344" i="8"/>
  <c r="D321" i="7" s="1"/>
  <c r="H344" i="8"/>
  <c r="G344" i="8"/>
  <c r="F344" i="8"/>
  <c r="E344" i="8"/>
  <c r="Z343" i="8"/>
  <c r="R343" i="8"/>
  <c r="Q343" i="8"/>
  <c r="T343" i="8" s="1"/>
  <c r="S343" i="8"/>
  <c r="P343" i="8"/>
  <c r="O343" i="8"/>
  <c r="H327" i="7" s="1"/>
  <c r="M343" i="8"/>
  <c r="F327" i="7" s="1"/>
  <c r="L343" i="8"/>
  <c r="N343" i="8"/>
  <c r="G327" i="7" s="1"/>
  <c r="K343" i="8"/>
  <c r="E327" i="7" s="1"/>
  <c r="J343" i="8"/>
  <c r="I343" i="8"/>
  <c r="D327" i="7" s="1"/>
  <c r="H343" i="8"/>
  <c r="G343" i="8"/>
  <c r="F343" i="8"/>
  <c r="E343" i="8"/>
  <c r="Z342" i="8"/>
  <c r="T342" i="8"/>
  <c r="R342" i="8"/>
  <c r="Q342" i="8"/>
  <c r="S342" i="8"/>
  <c r="P342" i="8"/>
  <c r="O342" i="8"/>
  <c r="H334" i="7" s="1"/>
  <c r="L342" i="8"/>
  <c r="M342" i="8" s="1"/>
  <c r="F334" i="7" s="1"/>
  <c r="N342" i="8"/>
  <c r="G334" i="7" s="1"/>
  <c r="K342" i="8"/>
  <c r="E334" i="7" s="1"/>
  <c r="J342" i="8"/>
  <c r="I342" i="8"/>
  <c r="D334" i="7" s="1"/>
  <c r="H342" i="8"/>
  <c r="G342" i="8"/>
  <c r="F342" i="8"/>
  <c r="E342" i="8"/>
  <c r="Z341" i="8"/>
  <c r="Q341" i="8"/>
  <c r="S341" i="8"/>
  <c r="P341" i="8"/>
  <c r="L341" i="8"/>
  <c r="O341" i="8" s="1"/>
  <c r="H335" i="7" s="1"/>
  <c r="N341" i="8"/>
  <c r="G335" i="7" s="1"/>
  <c r="K341" i="8"/>
  <c r="E335" i="7" s="1"/>
  <c r="J341" i="8"/>
  <c r="I341" i="8"/>
  <c r="D335" i="7" s="1"/>
  <c r="H341" i="8"/>
  <c r="G341" i="8"/>
  <c r="F341" i="8"/>
  <c r="E341" i="8"/>
  <c r="Z340" i="8"/>
  <c r="R340" i="8"/>
  <c r="Q340" i="8"/>
  <c r="T340" i="8" s="1"/>
  <c r="S340" i="8"/>
  <c r="P340" i="8"/>
  <c r="M340" i="8"/>
  <c r="F336" i="7" s="1"/>
  <c r="L340" i="8"/>
  <c r="O340" i="8" s="1"/>
  <c r="H336" i="7" s="1"/>
  <c r="N340" i="8"/>
  <c r="G336" i="7" s="1"/>
  <c r="K340" i="8"/>
  <c r="E336" i="7" s="1"/>
  <c r="J340" i="8"/>
  <c r="I340" i="8"/>
  <c r="D336" i="7" s="1"/>
  <c r="H340" i="8"/>
  <c r="G340" i="8"/>
  <c r="F340" i="8"/>
  <c r="E340" i="8"/>
  <c r="Z339" i="8"/>
  <c r="T339" i="8"/>
  <c r="Q339" i="8"/>
  <c r="R339" i="8" s="1"/>
  <c r="S339" i="8"/>
  <c r="P339" i="8"/>
  <c r="O339" i="8"/>
  <c r="H337" i="7" s="1"/>
  <c r="M339" i="8"/>
  <c r="F337" i="7" s="1"/>
  <c r="L339" i="8"/>
  <c r="N339" i="8"/>
  <c r="G337" i="7" s="1"/>
  <c r="K339" i="8"/>
  <c r="E337" i="7" s="1"/>
  <c r="J339" i="8"/>
  <c r="I339" i="8"/>
  <c r="D337" i="7" s="1"/>
  <c r="H339" i="8"/>
  <c r="G339" i="8"/>
  <c r="F339" i="8"/>
  <c r="E339" i="8"/>
  <c r="Z338" i="8"/>
  <c r="T338" i="8"/>
  <c r="R338" i="8"/>
  <c r="Q338" i="8"/>
  <c r="S338" i="8"/>
  <c r="P338" i="8"/>
  <c r="L338" i="8"/>
  <c r="N338" i="8"/>
  <c r="G338" i="7" s="1"/>
  <c r="K338" i="8"/>
  <c r="E338" i="7" s="1"/>
  <c r="J338" i="8"/>
  <c r="I338" i="8"/>
  <c r="D338" i="7" s="1"/>
  <c r="H338" i="8"/>
  <c r="G338" i="8"/>
  <c r="F338" i="8"/>
  <c r="E338" i="8"/>
  <c r="Z337" i="8"/>
  <c r="T337" i="8"/>
  <c r="R337" i="8"/>
  <c r="Q337" i="8"/>
  <c r="S337" i="8"/>
  <c r="P337" i="8"/>
  <c r="M337" i="8"/>
  <c r="F341" i="7" s="1"/>
  <c r="L337" i="8"/>
  <c r="O337" i="8" s="1"/>
  <c r="H341" i="7" s="1"/>
  <c r="N337" i="8"/>
  <c r="G341" i="7" s="1"/>
  <c r="K337" i="8"/>
  <c r="E341" i="7" s="1"/>
  <c r="J337" i="8"/>
  <c r="I337" i="8"/>
  <c r="D341" i="7" s="1"/>
  <c r="H337" i="8"/>
  <c r="G337" i="8"/>
  <c r="F337" i="8"/>
  <c r="E337" i="8"/>
  <c r="Z336" i="8"/>
  <c r="S336" i="8"/>
  <c r="R336" i="8"/>
  <c r="P336" i="8"/>
  <c r="N336" i="8"/>
  <c r="K336" i="8"/>
  <c r="E342" i="7" s="1"/>
  <c r="I336" i="8"/>
  <c r="D342" i="7" s="1"/>
  <c r="H336" i="8"/>
  <c r="G336" i="8"/>
  <c r="F336" i="8"/>
  <c r="E336" i="8"/>
  <c r="D336" i="8"/>
  <c r="A336" i="8"/>
  <c r="Z335" i="8"/>
  <c r="Q335" i="8"/>
  <c r="T335" i="8" s="1"/>
  <c r="S335" i="8"/>
  <c r="P335" i="8"/>
  <c r="O335" i="8"/>
  <c r="H295" i="7" s="1"/>
  <c r="L335" i="8"/>
  <c r="M335" i="8" s="1"/>
  <c r="F295" i="7" s="1"/>
  <c r="N335" i="8"/>
  <c r="G295" i="7" s="1"/>
  <c r="K335" i="8"/>
  <c r="E295" i="7" s="1"/>
  <c r="J335" i="8"/>
  <c r="I335" i="8"/>
  <c r="D295" i="7" s="1"/>
  <c r="H335" i="8"/>
  <c r="G335" i="8"/>
  <c r="F335" i="8"/>
  <c r="E335" i="8"/>
  <c r="Z334" i="8"/>
  <c r="R334" i="8"/>
  <c r="Q334" i="8"/>
  <c r="T334" i="8" s="1"/>
  <c r="S334" i="8"/>
  <c r="P334" i="8"/>
  <c r="O334" i="8"/>
  <c r="M334" i="8"/>
  <c r="F304" i="7" s="1"/>
  <c r="L334" i="8"/>
  <c r="N334" i="8"/>
  <c r="G304" i="7" s="1"/>
  <c r="K334" i="8"/>
  <c r="E304" i="7" s="1"/>
  <c r="J334" i="8"/>
  <c r="I334" i="8"/>
  <c r="H334" i="8"/>
  <c r="G334" i="8"/>
  <c r="F334" i="8"/>
  <c r="E334" i="8"/>
  <c r="Z333" i="8"/>
  <c r="T333" i="8"/>
  <c r="R333" i="8"/>
  <c r="Q333" i="8"/>
  <c r="S333" i="8"/>
  <c r="P333" i="8"/>
  <c r="O333" i="8"/>
  <c r="H294" i="7" s="1"/>
  <c r="M333" i="8"/>
  <c r="F294" i="7" s="1"/>
  <c r="L333" i="8"/>
  <c r="N333" i="8"/>
  <c r="G294" i="7" s="1"/>
  <c r="K333" i="8"/>
  <c r="E294" i="7" s="1"/>
  <c r="J333" i="8"/>
  <c r="I333" i="8"/>
  <c r="D294" i="7" s="1"/>
  <c r="H333" i="8"/>
  <c r="G333" i="8"/>
  <c r="F333" i="8"/>
  <c r="E333" i="8"/>
  <c r="Z332" i="8"/>
  <c r="Q332" i="8"/>
  <c r="S332" i="8"/>
  <c r="P332" i="8"/>
  <c r="L332" i="8"/>
  <c r="O332" i="8" s="1"/>
  <c r="H306" i="7" s="1"/>
  <c r="N332" i="8"/>
  <c r="G306" i="7" s="1"/>
  <c r="K332" i="8"/>
  <c r="E306" i="7" s="1"/>
  <c r="J332" i="8"/>
  <c r="I332" i="8"/>
  <c r="D306" i="7" s="1"/>
  <c r="H332" i="8"/>
  <c r="G332" i="8"/>
  <c r="F332" i="8"/>
  <c r="E332" i="8"/>
  <c r="G331" i="8"/>
  <c r="A331" i="8"/>
  <c r="Z330" i="8"/>
  <c r="T330" i="8"/>
  <c r="R330" i="8"/>
  <c r="Q330" i="8"/>
  <c r="S330" i="8"/>
  <c r="P330" i="8"/>
  <c r="L330" i="8"/>
  <c r="N330" i="8"/>
  <c r="G247" i="7" s="1"/>
  <c r="K330" i="8"/>
  <c r="E247" i="7" s="1"/>
  <c r="J330" i="8"/>
  <c r="I330" i="8"/>
  <c r="D247" i="7" s="1"/>
  <c r="H330" i="8"/>
  <c r="G330" i="8"/>
  <c r="F330" i="8"/>
  <c r="E330" i="8"/>
  <c r="Z329" i="8"/>
  <c r="T329" i="8"/>
  <c r="R329" i="8"/>
  <c r="Q329" i="8"/>
  <c r="S329" i="8"/>
  <c r="P329" i="8"/>
  <c r="M329" i="8"/>
  <c r="F253" i="7" s="1"/>
  <c r="L329" i="8"/>
  <c r="O329" i="8" s="1"/>
  <c r="H253" i="7" s="1"/>
  <c r="N329" i="8"/>
  <c r="G253" i="7" s="1"/>
  <c r="K329" i="8"/>
  <c r="E253" i="7" s="1"/>
  <c r="J329" i="8"/>
  <c r="I329" i="8"/>
  <c r="D253" i="7" s="1"/>
  <c r="H329" i="8"/>
  <c r="G329" i="8"/>
  <c r="F329" i="8"/>
  <c r="E329" i="8"/>
  <c r="Z328" i="8"/>
  <c r="Q328" i="8"/>
  <c r="T328" i="8" s="1"/>
  <c r="S328" i="8"/>
  <c r="P328" i="8"/>
  <c r="O328" i="8"/>
  <c r="L328" i="8"/>
  <c r="M328" i="8" s="1"/>
  <c r="N328" i="8"/>
  <c r="K328" i="8"/>
  <c r="J328" i="8"/>
  <c r="I328" i="8"/>
  <c r="H328" i="8"/>
  <c r="G328" i="8"/>
  <c r="F328" i="8"/>
  <c r="E328" i="8"/>
  <c r="Z327" i="8"/>
  <c r="R327" i="8"/>
  <c r="Q327" i="8"/>
  <c r="T327" i="8" s="1"/>
  <c r="S327" i="8"/>
  <c r="P327" i="8"/>
  <c r="O327" i="8"/>
  <c r="M327" i="8"/>
  <c r="L327" i="8"/>
  <c r="N327" i="8"/>
  <c r="K327" i="8"/>
  <c r="J327" i="8"/>
  <c r="I327" i="8"/>
  <c r="H327" i="8"/>
  <c r="G327" i="8"/>
  <c r="F327" i="8"/>
  <c r="E327" i="8"/>
  <c r="Z326" i="8"/>
  <c r="T326" i="8"/>
  <c r="R326" i="8"/>
  <c r="Q326" i="8"/>
  <c r="S326" i="8"/>
  <c r="P326" i="8"/>
  <c r="O326" i="8"/>
  <c r="H259" i="7" s="1"/>
  <c r="M326" i="8"/>
  <c r="F259" i="7" s="1"/>
  <c r="L326" i="8"/>
  <c r="N326" i="8"/>
  <c r="G259" i="7" s="1"/>
  <c r="K326" i="8"/>
  <c r="E259" i="7" s="1"/>
  <c r="J326" i="8"/>
  <c r="I326" i="8"/>
  <c r="D259" i="7" s="1"/>
  <c r="H326" i="8"/>
  <c r="G326" i="8"/>
  <c r="F326" i="8"/>
  <c r="E326" i="8"/>
  <c r="Z325" i="8"/>
  <c r="S325" i="8"/>
  <c r="R325" i="8"/>
  <c r="P325" i="8"/>
  <c r="O325" i="8"/>
  <c r="H289" i="7" s="1"/>
  <c r="N325" i="8"/>
  <c r="G289" i="7" s="1"/>
  <c r="K325" i="8"/>
  <c r="I325" i="8"/>
  <c r="D289" i="7" s="1"/>
  <c r="H325" i="8"/>
  <c r="G325" i="8"/>
  <c r="F325" i="8"/>
  <c r="E325" i="8"/>
  <c r="D325" i="8"/>
  <c r="A325" i="8"/>
  <c r="Z324" i="8"/>
  <c r="Q324" i="8"/>
  <c r="S324" i="8"/>
  <c r="P324" i="8"/>
  <c r="L324" i="8"/>
  <c r="N324" i="8"/>
  <c r="G248" i="7" s="1"/>
  <c r="K324" i="8"/>
  <c r="E248" i="7" s="1"/>
  <c r="J324" i="8"/>
  <c r="I324" i="8"/>
  <c r="D248" i="7" s="1"/>
  <c r="H324" i="8"/>
  <c r="G324" i="8"/>
  <c r="F324" i="8"/>
  <c r="E324" i="8"/>
  <c r="Z323" i="8"/>
  <c r="R323" i="8"/>
  <c r="Q323" i="8"/>
  <c r="T323" i="8" s="1"/>
  <c r="S323" i="8"/>
  <c r="P323" i="8"/>
  <c r="M323" i="8"/>
  <c r="L323" i="8"/>
  <c r="O323" i="8" s="1"/>
  <c r="N323" i="8"/>
  <c r="K323" i="8"/>
  <c r="J323" i="8"/>
  <c r="I323" i="8"/>
  <c r="H323" i="8"/>
  <c r="G323" i="8"/>
  <c r="F323" i="8"/>
  <c r="E323" i="8"/>
  <c r="Z322" i="8"/>
  <c r="T322" i="8"/>
  <c r="Q322" i="8"/>
  <c r="R322" i="8" s="1"/>
  <c r="S322" i="8"/>
  <c r="P322" i="8"/>
  <c r="O322" i="8"/>
  <c r="H252" i="7" s="1"/>
  <c r="M322" i="8"/>
  <c r="F252" i="7" s="1"/>
  <c r="L322" i="8"/>
  <c r="N322" i="8"/>
  <c r="G252" i="7" s="1"/>
  <c r="K322" i="8"/>
  <c r="E252" i="7" s="1"/>
  <c r="J322" i="8"/>
  <c r="I322" i="8"/>
  <c r="D252" i="7" s="1"/>
  <c r="H322" i="8"/>
  <c r="G322" i="8"/>
  <c r="F322" i="8"/>
  <c r="E322" i="8"/>
  <c r="Z321" i="8"/>
  <c r="T321" i="8"/>
  <c r="R321" i="8"/>
  <c r="Q321" i="8"/>
  <c r="S321" i="8"/>
  <c r="P321" i="8"/>
  <c r="L321" i="8"/>
  <c r="N321" i="8"/>
  <c r="K321" i="8"/>
  <c r="J321" i="8"/>
  <c r="I321" i="8"/>
  <c r="H321" i="8"/>
  <c r="G321" i="8"/>
  <c r="F321" i="8"/>
  <c r="E321" i="8"/>
  <c r="Z320" i="8"/>
  <c r="T320" i="8"/>
  <c r="R320" i="8"/>
  <c r="Q320" i="8"/>
  <c r="S320" i="8"/>
  <c r="P320" i="8"/>
  <c r="M320" i="8"/>
  <c r="F262" i="7" s="1"/>
  <c r="L320" i="8"/>
  <c r="O320" i="8" s="1"/>
  <c r="H262" i="7" s="1"/>
  <c r="N320" i="8"/>
  <c r="G262" i="7" s="1"/>
  <c r="K320" i="8"/>
  <c r="E262" i="7" s="1"/>
  <c r="J320" i="8"/>
  <c r="I320" i="8"/>
  <c r="D262" i="7" s="1"/>
  <c r="H320" i="8"/>
  <c r="G320" i="8"/>
  <c r="F320" i="8"/>
  <c r="E320" i="8"/>
  <c r="Z319" i="8"/>
  <c r="Q319" i="8"/>
  <c r="S319" i="8"/>
  <c r="P319" i="8"/>
  <c r="O319" i="8"/>
  <c r="H264" i="7" s="1"/>
  <c r="L319" i="8"/>
  <c r="M319" i="8" s="1"/>
  <c r="F264" i="7" s="1"/>
  <c r="N319" i="8"/>
  <c r="G264" i="7" s="1"/>
  <c r="K319" i="8"/>
  <c r="E264" i="7" s="1"/>
  <c r="J319" i="8"/>
  <c r="I319" i="8"/>
  <c r="D264" i="7" s="1"/>
  <c r="H319" i="8"/>
  <c r="G319" i="8"/>
  <c r="F319" i="8"/>
  <c r="E319" i="8"/>
  <c r="Z318" i="8"/>
  <c r="R318" i="8"/>
  <c r="Q318" i="8"/>
  <c r="T318" i="8" s="1"/>
  <c r="S318" i="8"/>
  <c r="P318" i="8"/>
  <c r="O318" i="8"/>
  <c r="M318" i="8"/>
  <c r="L318" i="8"/>
  <c r="N318" i="8"/>
  <c r="K318" i="8"/>
  <c r="J318" i="8"/>
  <c r="I318" i="8"/>
  <c r="H318" i="8"/>
  <c r="G318" i="8"/>
  <c r="F318" i="8"/>
  <c r="E318" i="8"/>
  <c r="Z317" i="8"/>
  <c r="T317" i="8"/>
  <c r="R317" i="8"/>
  <c r="Q317" i="8"/>
  <c r="S317" i="8"/>
  <c r="P317" i="8"/>
  <c r="O317" i="8"/>
  <c r="H267" i="7" s="1"/>
  <c r="M317" i="8"/>
  <c r="F267" i="7" s="1"/>
  <c r="L317" i="8"/>
  <c r="N317" i="8"/>
  <c r="G267" i="7" s="1"/>
  <c r="K317" i="8"/>
  <c r="E267" i="7" s="1"/>
  <c r="J317" i="8"/>
  <c r="I317" i="8"/>
  <c r="D267" i="7" s="1"/>
  <c r="H317" i="8"/>
  <c r="G317" i="8"/>
  <c r="F317" i="8"/>
  <c r="E317" i="8"/>
  <c r="Z316" i="8"/>
  <c r="Q316" i="8"/>
  <c r="S316" i="8"/>
  <c r="P316" i="8"/>
  <c r="L316" i="8"/>
  <c r="N316" i="8"/>
  <c r="K316" i="8"/>
  <c r="J316" i="8"/>
  <c r="I316" i="8"/>
  <c r="H316" i="8"/>
  <c r="G316" i="8"/>
  <c r="F316" i="8"/>
  <c r="E316" i="8"/>
  <c r="Z315" i="8"/>
  <c r="R315" i="8"/>
  <c r="Q315" i="8"/>
  <c r="T315" i="8" s="1"/>
  <c r="S315" i="8"/>
  <c r="P315" i="8"/>
  <c r="M315" i="8"/>
  <c r="F268" i="7" s="1"/>
  <c r="L315" i="8"/>
  <c r="O315" i="8" s="1"/>
  <c r="H268" i="7" s="1"/>
  <c r="N315" i="8"/>
  <c r="G268" i="7" s="1"/>
  <c r="K315" i="8"/>
  <c r="E268" i="7" s="1"/>
  <c r="J315" i="8"/>
  <c r="I315" i="8"/>
  <c r="D268" i="7" s="1"/>
  <c r="H315" i="8"/>
  <c r="G315" i="8"/>
  <c r="F315" i="8"/>
  <c r="E315" i="8"/>
  <c r="Z314" i="8"/>
  <c r="T314" i="8"/>
  <c r="Q314" i="8"/>
  <c r="R314" i="8" s="1"/>
  <c r="S314" i="8"/>
  <c r="P314" i="8"/>
  <c r="O314" i="8"/>
  <c r="H269" i="7" s="1"/>
  <c r="M314" i="8"/>
  <c r="F269" i="7" s="1"/>
  <c r="L314" i="8"/>
  <c r="N314" i="8"/>
  <c r="G269" i="7" s="1"/>
  <c r="K314" i="8"/>
  <c r="E269" i="7" s="1"/>
  <c r="J314" i="8"/>
  <c r="I314" i="8"/>
  <c r="D269" i="7" s="1"/>
  <c r="H314" i="8"/>
  <c r="G314" i="8"/>
  <c r="F314" i="8"/>
  <c r="E314" i="8"/>
  <c r="Z313" i="8"/>
  <c r="T313" i="8"/>
  <c r="R313" i="8"/>
  <c r="Q313" i="8"/>
  <c r="S313" i="8"/>
  <c r="P313" i="8"/>
  <c r="L313" i="8"/>
  <c r="N313" i="8"/>
  <c r="G270" i="7" s="1"/>
  <c r="K313" i="8"/>
  <c r="E270" i="7" s="1"/>
  <c r="J313" i="8"/>
  <c r="I313" i="8"/>
  <c r="D270" i="7" s="1"/>
  <c r="H313" i="8"/>
  <c r="G313" i="8"/>
  <c r="F313" i="8"/>
  <c r="E313" i="8"/>
  <c r="Z312" i="8"/>
  <c r="T312" i="8"/>
  <c r="R312" i="8"/>
  <c r="Q312" i="8"/>
  <c r="S312" i="8"/>
  <c r="P312" i="8"/>
  <c r="M312" i="8"/>
  <c r="F271" i="7" s="1"/>
  <c r="L312" i="8"/>
  <c r="O312" i="8" s="1"/>
  <c r="H271" i="7" s="1"/>
  <c r="N312" i="8"/>
  <c r="G271" i="7" s="1"/>
  <c r="K312" i="8"/>
  <c r="E271" i="7" s="1"/>
  <c r="J312" i="8"/>
  <c r="I312" i="8"/>
  <c r="D271" i="7" s="1"/>
  <c r="H312" i="8"/>
  <c r="G312" i="8"/>
  <c r="F312" i="8"/>
  <c r="E312" i="8"/>
  <c r="Z311" i="8"/>
  <c r="Q311" i="8"/>
  <c r="S311" i="8"/>
  <c r="P311" i="8"/>
  <c r="L311" i="8"/>
  <c r="N311" i="8"/>
  <c r="G272" i="7" s="1"/>
  <c r="K311" i="8"/>
  <c r="E272" i="7" s="1"/>
  <c r="J311" i="8"/>
  <c r="I311" i="8"/>
  <c r="D272" i="7" s="1"/>
  <c r="H311" i="8"/>
  <c r="G311" i="8"/>
  <c r="F311" i="8"/>
  <c r="E311" i="8"/>
  <c r="Z310" i="8"/>
  <c r="R310" i="8"/>
  <c r="Q310" i="8"/>
  <c r="T310" i="8" s="1"/>
  <c r="S310" i="8"/>
  <c r="P310" i="8"/>
  <c r="O310" i="8"/>
  <c r="H273" i="7" s="1"/>
  <c r="M310" i="8"/>
  <c r="F273" i="7" s="1"/>
  <c r="L310" i="8"/>
  <c r="N310" i="8"/>
  <c r="G273" i="7" s="1"/>
  <c r="K310" i="8"/>
  <c r="E273" i="7" s="1"/>
  <c r="J310" i="8"/>
  <c r="I310" i="8"/>
  <c r="D273" i="7" s="1"/>
  <c r="H310" i="8"/>
  <c r="G310" i="8"/>
  <c r="F310" i="8"/>
  <c r="E310" i="8"/>
  <c r="Z309" i="8"/>
  <c r="T309" i="8"/>
  <c r="R309" i="8"/>
  <c r="Q309" i="8"/>
  <c r="S309" i="8"/>
  <c r="P309" i="8"/>
  <c r="O309" i="8"/>
  <c r="H274" i="7" s="1"/>
  <c r="M309" i="8"/>
  <c r="F274" i="7" s="1"/>
  <c r="L309" i="8"/>
  <c r="N309" i="8"/>
  <c r="G274" i="7" s="1"/>
  <c r="K309" i="8"/>
  <c r="E274" i="7" s="1"/>
  <c r="J309" i="8"/>
  <c r="I309" i="8"/>
  <c r="D274" i="7" s="1"/>
  <c r="H309" i="8"/>
  <c r="G309" i="8"/>
  <c r="F309" i="8"/>
  <c r="E309" i="8"/>
  <c r="Z308" i="8"/>
  <c r="T308" i="8"/>
  <c r="Q308" i="8"/>
  <c r="R308" i="8" s="1"/>
  <c r="S308" i="8"/>
  <c r="P308" i="8"/>
  <c r="L308" i="8"/>
  <c r="N308" i="8"/>
  <c r="G275" i="7" s="1"/>
  <c r="K308" i="8"/>
  <c r="E275" i="7" s="1"/>
  <c r="J308" i="8"/>
  <c r="I308" i="8"/>
  <c r="D275" i="7" s="1"/>
  <c r="H308" i="8"/>
  <c r="G308" i="8"/>
  <c r="F308" i="8"/>
  <c r="E308" i="8"/>
  <c r="Z307" i="8"/>
  <c r="R307" i="8"/>
  <c r="Q307" i="8"/>
  <c r="T307" i="8" s="1"/>
  <c r="S307" i="8"/>
  <c r="P307" i="8"/>
  <c r="M307" i="8"/>
  <c r="F278" i="7" s="1"/>
  <c r="L307" i="8"/>
  <c r="O307" i="8" s="1"/>
  <c r="H278" i="7" s="1"/>
  <c r="N307" i="8"/>
  <c r="G278" i="7" s="1"/>
  <c r="K307" i="8"/>
  <c r="E278" i="7" s="1"/>
  <c r="J307" i="8"/>
  <c r="I307" i="8"/>
  <c r="D278" i="7" s="1"/>
  <c r="H307" i="8"/>
  <c r="G307" i="8"/>
  <c r="F307" i="8"/>
  <c r="E307" i="8"/>
  <c r="Z306" i="8"/>
  <c r="T306" i="8"/>
  <c r="Q306" i="8"/>
  <c r="R306" i="8" s="1"/>
  <c r="S306" i="8"/>
  <c r="P306" i="8"/>
  <c r="O306" i="8"/>
  <c r="H280" i="7" s="1"/>
  <c r="M306" i="8"/>
  <c r="F280" i="7" s="1"/>
  <c r="L306" i="8"/>
  <c r="N306" i="8"/>
  <c r="G280" i="7" s="1"/>
  <c r="K306" i="8"/>
  <c r="E280" i="7" s="1"/>
  <c r="J306" i="8"/>
  <c r="I306" i="8"/>
  <c r="D280" i="7" s="1"/>
  <c r="H306" i="8"/>
  <c r="G306" i="8"/>
  <c r="F306" i="8"/>
  <c r="E306" i="8"/>
  <c r="Z305" i="8"/>
  <c r="T305" i="8"/>
  <c r="R305" i="8"/>
  <c r="Q305" i="8"/>
  <c r="S305" i="8"/>
  <c r="P305" i="8"/>
  <c r="O305" i="8"/>
  <c r="H281" i="7" s="1"/>
  <c r="L305" i="8"/>
  <c r="M305" i="8" s="1"/>
  <c r="F281" i="7" s="1"/>
  <c r="N305" i="8"/>
  <c r="G281" i="7" s="1"/>
  <c r="K305" i="8"/>
  <c r="E281" i="7" s="1"/>
  <c r="J305" i="8"/>
  <c r="I305" i="8"/>
  <c r="D281" i="7" s="1"/>
  <c r="H305" i="8"/>
  <c r="G305" i="8"/>
  <c r="F305" i="8"/>
  <c r="E305" i="8"/>
  <c r="Z304" i="8"/>
  <c r="T304" i="8"/>
  <c r="R304" i="8"/>
  <c r="Q304" i="8"/>
  <c r="S304" i="8"/>
  <c r="P304" i="8"/>
  <c r="M304" i="8"/>
  <c r="L304" i="8"/>
  <c r="O304" i="8" s="1"/>
  <c r="N304" i="8"/>
  <c r="K304" i="8"/>
  <c r="J304" i="8"/>
  <c r="I304" i="8"/>
  <c r="H304" i="8"/>
  <c r="G304" i="8"/>
  <c r="F304" i="8"/>
  <c r="E304" i="8"/>
  <c r="Z303" i="8"/>
  <c r="Q303" i="8"/>
  <c r="S303" i="8"/>
  <c r="P303" i="8"/>
  <c r="O303" i="8"/>
  <c r="H282" i="7" s="1"/>
  <c r="L303" i="8"/>
  <c r="M303" i="8" s="1"/>
  <c r="F282" i="7" s="1"/>
  <c r="N303" i="8"/>
  <c r="G282" i="7" s="1"/>
  <c r="K303" i="8"/>
  <c r="E282" i="7" s="1"/>
  <c r="J303" i="8"/>
  <c r="I303" i="8"/>
  <c r="D282" i="7" s="1"/>
  <c r="H303" i="8"/>
  <c r="G303" i="8"/>
  <c r="F303" i="8"/>
  <c r="E303" i="8"/>
  <c r="Z302" i="8"/>
  <c r="Q302" i="8"/>
  <c r="T302" i="8" s="1"/>
  <c r="S302" i="8"/>
  <c r="P302" i="8"/>
  <c r="O302" i="8"/>
  <c r="H283" i="7" s="1"/>
  <c r="M302" i="8"/>
  <c r="F283" i="7" s="1"/>
  <c r="L302" i="8"/>
  <c r="N302" i="8"/>
  <c r="G283" i="7" s="1"/>
  <c r="K302" i="8"/>
  <c r="E283" i="7" s="1"/>
  <c r="J302" i="8"/>
  <c r="I302" i="8"/>
  <c r="D283" i="7" s="1"/>
  <c r="H302" i="8"/>
  <c r="G302" i="8"/>
  <c r="F302" i="8"/>
  <c r="E302" i="8"/>
  <c r="Z301" i="8"/>
  <c r="T301" i="8"/>
  <c r="R301" i="8"/>
  <c r="Q301" i="8"/>
  <c r="S301" i="8"/>
  <c r="P301" i="8"/>
  <c r="O301" i="8"/>
  <c r="H284" i="7" s="1"/>
  <c r="M301" i="8"/>
  <c r="F284" i="7" s="1"/>
  <c r="L301" i="8"/>
  <c r="N301" i="8"/>
  <c r="G284" i="7" s="1"/>
  <c r="K301" i="8"/>
  <c r="E284" i="7" s="1"/>
  <c r="J301" i="8"/>
  <c r="I301" i="8"/>
  <c r="D284" i="7" s="1"/>
  <c r="H301" i="8"/>
  <c r="G301" i="8"/>
  <c r="F301" i="8"/>
  <c r="E301" i="8"/>
  <c r="Z300" i="8"/>
  <c r="Q300" i="8"/>
  <c r="S300" i="8"/>
  <c r="P300" i="8"/>
  <c r="L300" i="8"/>
  <c r="N300" i="8"/>
  <c r="K300" i="8"/>
  <c r="J300" i="8"/>
  <c r="I300" i="8"/>
  <c r="H300" i="8"/>
  <c r="G300" i="8"/>
  <c r="F300" i="8"/>
  <c r="E300" i="8"/>
  <c r="Z299" i="8"/>
  <c r="R299" i="8"/>
  <c r="Q299" i="8"/>
  <c r="T299" i="8" s="1"/>
  <c r="S299" i="8"/>
  <c r="P299" i="8"/>
  <c r="L299" i="8"/>
  <c r="O299" i="8" s="1"/>
  <c r="N299" i="8"/>
  <c r="G257" i="7" s="1"/>
  <c r="K299" i="8"/>
  <c r="E257" i="7" s="1"/>
  <c r="J299" i="8"/>
  <c r="I299" i="8"/>
  <c r="D257" i="7" s="1"/>
  <c r="H299" i="8"/>
  <c r="G299" i="8"/>
  <c r="F299" i="8"/>
  <c r="E299" i="8"/>
  <c r="Z298" i="8"/>
  <c r="T298" i="8"/>
  <c r="R298" i="8"/>
  <c r="Q298" i="8"/>
  <c r="S298" i="8"/>
  <c r="P298" i="8"/>
  <c r="O298" i="8"/>
  <c r="H279" i="7" s="1"/>
  <c r="M298" i="8"/>
  <c r="F279" i="7" s="1"/>
  <c r="L298" i="8"/>
  <c r="N298" i="8"/>
  <c r="G279" i="7" s="1"/>
  <c r="K298" i="8"/>
  <c r="E279" i="7" s="1"/>
  <c r="J298" i="8"/>
  <c r="I298" i="8"/>
  <c r="D279" i="7" s="1"/>
  <c r="H298" i="8"/>
  <c r="G298" i="8"/>
  <c r="F298" i="8"/>
  <c r="E298" i="8"/>
  <c r="Z297" i="8"/>
  <c r="Q297" i="8"/>
  <c r="T297" i="8" s="1"/>
  <c r="S297" i="8"/>
  <c r="P297" i="8"/>
  <c r="L297" i="8"/>
  <c r="M297" i="8" s="1"/>
  <c r="F246" i="7" s="1"/>
  <c r="N297" i="8"/>
  <c r="G246" i="7" s="1"/>
  <c r="K297" i="8"/>
  <c r="E246" i="7" s="1"/>
  <c r="J297" i="8"/>
  <c r="I297" i="8"/>
  <c r="D246" i="7" s="1"/>
  <c r="H297" i="8"/>
  <c r="G297" i="8"/>
  <c r="F297" i="8"/>
  <c r="E297" i="8"/>
  <c r="Z296" i="8"/>
  <c r="T296" i="8"/>
  <c r="R296" i="8"/>
  <c r="Q296" i="8"/>
  <c r="S296" i="8"/>
  <c r="P296" i="8"/>
  <c r="L296" i="8"/>
  <c r="O296" i="8" s="1"/>
  <c r="N296" i="8"/>
  <c r="K296" i="8"/>
  <c r="J296" i="8"/>
  <c r="I296" i="8"/>
  <c r="H296" i="8"/>
  <c r="G296" i="8"/>
  <c r="F296" i="8"/>
  <c r="E296" i="8"/>
  <c r="Z295" i="8"/>
  <c r="T295" i="8"/>
  <c r="Q295" i="8"/>
  <c r="R295" i="8" s="1"/>
  <c r="S295" i="8"/>
  <c r="P295" i="8"/>
  <c r="L295" i="8"/>
  <c r="O295" i="8" s="1"/>
  <c r="H256" i="7" s="1"/>
  <c r="N295" i="8"/>
  <c r="G256" i="7" s="1"/>
  <c r="K295" i="8"/>
  <c r="E256" i="7" s="1"/>
  <c r="J295" i="8"/>
  <c r="I295" i="8"/>
  <c r="D256" i="7" s="1"/>
  <c r="H295" i="8"/>
  <c r="G295" i="8"/>
  <c r="F295" i="8"/>
  <c r="E295" i="8"/>
  <c r="Z294" i="8"/>
  <c r="R294" i="8"/>
  <c r="Q294" i="8"/>
  <c r="T294" i="8" s="1"/>
  <c r="S294" i="8"/>
  <c r="P294" i="8"/>
  <c r="L294" i="8"/>
  <c r="O294" i="8" s="1"/>
  <c r="N294" i="8"/>
  <c r="K294" i="8"/>
  <c r="J294" i="8"/>
  <c r="I294" i="8"/>
  <c r="H294" i="8"/>
  <c r="G294" i="8"/>
  <c r="F294" i="8"/>
  <c r="E294" i="8"/>
  <c r="Z293" i="8"/>
  <c r="T293" i="8"/>
  <c r="R293" i="8"/>
  <c r="Q293" i="8"/>
  <c r="S293" i="8"/>
  <c r="P293" i="8"/>
  <c r="O293" i="8"/>
  <c r="H260" i="7" s="1"/>
  <c r="M293" i="8"/>
  <c r="F260" i="7" s="1"/>
  <c r="L293" i="8"/>
  <c r="N293" i="8"/>
  <c r="G260" i="7" s="1"/>
  <c r="K293" i="8"/>
  <c r="E260" i="7" s="1"/>
  <c r="J293" i="8"/>
  <c r="I293" i="8"/>
  <c r="D260" i="7" s="1"/>
  <c r="H293" i="8"/>
  <c r="G293" i="8"/>
  <c r="F293" i="8"/>
  <c r="E293" i="8"/>
  <c r="Z292" i="8"/>
  <c r="Q292" i="8"/>
  <c r="R292" i="8" s="1"/>
  <c r="S292" i="8"/>
  <c r="P292" i="8"/>
  <c r="L292" i="8"/>
  <c r="M292" i="8" s="1"/>
  <c r="F261" i="7" s="1"/>
  <c r="N292" i="8"/>
  <c r="G261" i="7" s="1"/>
  <c r="K292" i="8"/>
  <c r="E261" i="7" s="1"/>
  <c r="J292" i="8"/>
  <c r="I292" i="8"/>
  <c r="D261" i="7" s="1"/>
  <c r="H292" i="8"/>
  <c r="G292" i="8"/>
  <c r="F292" i="8"/>
  <c r="E292" i="8"/>
  <c r="Z291" i="8"/>
  <c r="R291" i="8"/>
  <c r="Q291" i="8"/>
  <c r="T291" i="8" s="1"/>
  <c r="S291" i="8"/>
  <c r="P291" i="8"/>
  <c r="L291" i="8"/>
  <c r="O291" i="8" s="1"/>
  <c r="N291" i="8"/>
  <c r="K291" i="8"/>
  <c r="J291" i="8"/>
  <c r="I291" i="8"/>
  <c r="H291" i="8"/>
  <c r="G291" i="8"/>
  <c r="F291" i="8"/>
  <c r="E291" i="8"/>
  <c r="Z290" i="8"/>
  <c r="T290" i="8"/>
  <c r="R290" i="8"/>
  <c r="Q290" i="8"/>
  <c r="S290" i="8"/>
  <c r="P290" i="8"/>
  <c r="O290" i="8"/>
  <c r="H266" i="7" s="1"/>
  <c r="M290" i="8"/>
  <c r="F266" i="7" s="1"/>
  <c r="L290" i="8"/>
  <c r="N290" i="8"/>
  <c r="G266" i="7" s="1"/>
  <c r="K290" i="8"/>
  <c r="E266" i="7" s="1"/>
  <c r="J290" i="8"/>
  <c r="I290" i="8"/>
  <c r="D266" i="7" s="1"/>
  <c r="H290" i="8"/>
  <c r="G290" i="8"/>
  <c r="F290" i="8"/>
  <c r="E290" i="8"/>
  <c r="Z289" i="8"/>
  <c r="Q289" i="8"/>
  <c r="T289" i="8" s="1"/>
  <c r="S289" i="8"/>
  <c r="P289" i="8"/>
  <c r="L289" i="8"/>
  <c r="M289" i="8" s="1"/>
  <c r="F285" i="7" s="1"/>
  <c r="N289" i="8"/>
  <c r="G285" i="7" s="1"/>
  <c r="K289" i="8"/>
  <c r="E285" i="7" s="1"/>
  <c r="J289" i="8"/>
  <c r="I289" i="8"/>
  <c r="D285" i="7" s="1"/>
  <c r="H289" i="8"/>
  <c r="G289" i="8"/>
  <c r="F289" i="8"/>
  <c r="E289" i="8"/>
  <c r="Z288" i="8"/>
  <c r="T288" i="8"/>
  <c r="R288" i="8"/>
  <c r="Q288" i="8"/>
  <c r="S288" i="8"/>
  <c r="P288" i="8"/>
  <c r="L288" i="8"/>
  <c r="O288" i="8" s="1"/>
  <c r="H287" i="7" s="1"/>
  <c r="N288" i="8"/>
  <c r="G287" i="7" s="1"/>
  <c r="K288" i="8"/>
  <c r="E287" i="7" s="1"/>
  <c r="J288" i="8"/>
  <c r="I288" i="8"/>
  <c r="D287" i="7" s="1"/>
  <c r="H288" i="8"/>
  <c r="G288" i="8"/>
  <c r="F288" i="8"/>
  <c r="E288" i="8"/>
  <c r="Z287" i="8"/>
  <c r="T287" i="8"/>
  <c r="Q287" i="8"/>
  <c r="R287" i="8" s="1"/>
  <c r="S287" i="8"/>
  <c r="P287" i="8"/>
  <c r="L287" i="8"/>
  <c r="O287" i="8" s="1"/>
  <c r="N287" i="8"/>
  <c r="K287" i="8"/>
  <c r="J287" i="8"/>
  <c r="I287" i="8"/>
  <c r="H287" i="8"/>
  <c r="G287" i="8"/>
  <c r="F287" i="8"/>
  <c r="E287" i="8"/>
  <c r="Z286" i="8"/>
  <c r="S286" i="8"/>
  <c r="T286" i="8" s="1"/>
  <c r="R286" i="8"/>
  <c r="P286" i="8"/>
  <c r="O286" i="8"/>
  <c r="H288" i="7" s="1"/>
  <c r="N286" i="8"/>
  <c r="G288" i="7" s="1"/>
  <c r="K286" i="8"/>
  <c r="E288" i="7" s="1"/>
  <c r="I286" i="8"/>
  <c r="D288" i="7" s="1"/>
  <c r="H286" i="8"/>
  <c r="G286" i="8"/>
  <c r="F286" i="8"/>
  <c r="E286" i="8"/>
  <c r="D286" i="8"/>
  <c r="A286" i="8"/>
  <c r="Z285" i="8"/>
  <c r="Q285" i="8"/>
  <c r="T285" i="8" s="1"/>
  <c r="S285" i="8"/>
  <c r="P285" i="8"/>
  <c r="O285" i="8"/>
  <c r="H245" i="7" s="1"/>
  <c r="L285" i="8"/>
  <c r="M285" i="8" s="1"/>
  <c r="F245" i="7" s="1"/>
  <c r="N285" i="8"/>
  <c r="G245" i="7" s="1"/>
  <c r="K285" i="8"/>
  <c r="E245" i="7" s="1"/>
  <c r="J285" i="8"/>
  <c r="I285" i="8"/>
  <c r="D245" i="7" s="1"/>
  <c r="H285" i="8"/>
  <c r="G285" i="8"/>
  <c r="F285" i="8"/>
  <c r="E285" i="8"/>
  <c r="Z284" i="8"/>
  <c r="T284" i="8"/>
  <c r="R284" i="8"/>
  <c r="Q284" i="8"/>
  <c r="S284" i="8"/>
  <c r="P284" i="8"/>
  <c r="O284" i="8"/>
  <c r="M284" i="8"/>
  <c r="L284" i="8"/>
  <c r="N284" i="8"/>
  <c r="G251" i="7" s="1"/>
  <c r="K284" i="8"/>
  <c r="E251" i="7" s="1"/>
  <c r="J284" i="8"/>
  <c r="I284" i="8"/>
  <c r="D251" i="7" s="1"/>
  <c r="H284" i="8"/>
  <c r="G284" i="8"/>
  <c r="F284" i="8"/>
  <c r="E284" i="8"/>
  <c r="Z283" i="8"/>
  <c r="T283" i="8"/>
  <c r="Q283" i="8"/>
  <c r="R283" i="8" s="1"/>
  <c r="S283" i="8"/>
  <c r="P283" i="8"/>
  <c r="L283" i="8"/>
  <c r="M283" i="8" s="1"/>
  <c r="N283" i="8"/>
  <c r="G258" i="7" s="1"/>
  <c r="K283" i="8"/>
  <c r="E258" i="7" s="1"/>
  <c r="J283" i="8"/>
  <c r="I283" i="8"/>
  <c r="D258" i="7" s="1"/>
  <c r="H283" i="8"/>
  <c r="G283" i="8"/>
  <c r="F283" i="8"/>
  <c r="E283" i="8"/>
  <c r="Z282" i="8"/>
  <c r="Q282" i="8"/>
  <c r="T282" i="8" s="1"/>
  <c r="S282" i="8"/>
  <c r="P282" i="8"/>
  <c r="M282" i="8"/>
  <c r="F263" i="7" s="1"/>
  <c r="L282" i="8"/>
  <c r="O282" i="8" s="1"/>
  <c r="H263" i="7" s="1"/>
  <c r="N282" i="8"/>
  <c r="G263" i="7" s="1"/>
  <c r="K282" i="8"/>
  <c r="E263" i="7" s="1"/>
  <c r="J282" i="8"/>
  <c r="I282" i="8"/>
  <c r="D263" i="7" s="1"/>
  <c r="H282" i="8"/>
  <c r="G282" i="8"/>
  <c r="F282" i="8"/>
  <c r="E282" i="8"/>
  <c r="Z281" i="8"/>
  <c r="T281" i="8"/>
  <c r="Q281" i="8"/>
  <c r="R281" i="8" s="1"/>
  <c r="S281" i="8"/>
  <c r="P281" i="8"/>
  <c r="O281" i="8"/>
  <c r="H265" i="7" s="1"/>
  <c r="M281" i="8"/>
  <c r="L281" i="8"/>
  <c r="N281" i="8"/>
  <c r="G265" i="7" s="1"/>
  <c r="K281" i="8"/>
  <c r="E265" i="7" s="1"/>
  <c r="J281" i="8"/>
  <c r="I281" i="8"/>
  <c r="D265" i="7" s="1"/>
  <c r="H281" i="8"/>
  <c r="G281" i="8"/>
  <c r="F281" i="8"/>
  <c r="E281" i="8"/>
  <c r="Z280" i="8"/>
  <c r="R280" i="8"/>
  <c r="Q280" i="8"/>
  <c r="T280" i="8" s="1"/>
  <c r="S280" i="8"/>
  <c r="P280" i="8"/>
  <c r="L280" i="8"/>
  <c r="M280" i="8" s="1"/>
  <c r="N280" i="8"/>
  <c r="G290" i="7" s="1"/>
  <c r="K280" i="8"/>
  <c r="E290" i="7" s="1"/>
  <c r="J280" i="8"/>
  <c r="I280" i="8"/>
  <c r="H280" i="8"/>
  <c r="G280" i="8"/>
  <c r="F280" i="8"/>
  <c r="E280" i="8"/>
  <c r="Z279" i="8"/>
  <c r="T279" i="8"/>
  <c r="R279" i="8"/>
  <c r="Q279" i="8"/>
  <c r="S279" i="8"/>
  <c r="P279" i="8"/>
  <c r="L279" i="8"/>
  <c r="O279" i="8" s="1"/>
  <c r="H244" i="7" s="1"/>
  <c r="N279" i="8"/>
  <c r="G244" i="7" s="1"/>
  <c r="K279" i="8"/>
  <c r="E244" i="7" s="1"/>
  <c r="J279" i="8"/>
  <c r="I279" i="8"/>
  <c r="D244" i="7" s="1"/>
  <c r="H279" i="8"/>
  <c r="G279" i="8"/>
  <c r="F279" i="8"/>
  <c r="E279" i="8"/>
  <c r="Z278" i="8"/>
  <c r="Q278" i="8"/>
  <c r="R278" i="8" s="1"/>
  <c r="S278" i="8"/>
  <c r="P278" i="8"/>
  <c r="O278" i="8"/>
  <c r="H254" i="7" s="1"/>
  <c r="L278" i="8"/>
  <c r="M278" i="8" s="1"/>
  <c r="F254" i="7" s="1"/>
  <c r="N278" i="8"/>
  <c r="G254" i="7" s="1"/>
  <c r="K278" i="8"/>
  <c r="E254" i="7" s="1"/>
  <c r="J278" i="8"/>
  <c r="I278" i="8"/>
  <c r="D254" i="7" s="1"/>
  <c r="H278" i="8"/>
  <c r="G278" i="8"/>
  <c r="F278" i="8"/>
  <c r="E278" i="8"/>
  <c r="Z277" i="8"/>
  <c r="Q277" i="8"/>
  <c r="T277" i="8" s="1"/>
  <c r="S277" i="8"/>
  <c r="P277" i="8"/>
  <c r="O277" i="8"/>
  <c r="H255" i="7" s="1"/>
  <c r="L277" i="8"/>
  <c r="M277" i="8" s="1"/>
  <c r="F255" i="7" s="1"/>
  <c r="N277" i="8"/>
  <c r="G255" i="7" s="1"/>
  <c r="K277" i="8"/>
  <c r="E255" i="7" s="1"/>
  <c r="J277" i="8"/>
  <c r="I277" i="8"/>
  <c r="D255" i="7" s="1"/>
  <c r="H277" i="8"/>
  <c r="G277" i="8"/>
  <c r="F277" i="8"/>
  <c r="E277" i="8"/>
  <c r="Z276" i="8"/>
  <c r="T276" i="8"/>
  <c r="R276" i="8"/>
  <c r="Q276" i="8"/>
  <c r="S276" i="8"/>
  <c r="P276" i="8"/>
  <c r="O276" i="8"/>
  <c r="H286" i="7" s="1"/>
  <c r="M276" i="8"/>
  <c r="F286" i="7" s="1"/>
  <c r="L276" i="8"/>
  <c r="N276" i="8"/>
  <c r="G286" i="7" s="1"/>
  <c r="K276" i="8"/>
  <c r="E286" i="7" s="1"/>
  <c r="J276" i="8"/>
  <c r="I276" i="8"/>
  <c r="D286" i="7" s="1"/>
  <c r="H276" i="8"/>
  <c r="G276" i="8"/>
  <c r="F276" i="8"/>
  <c r="E276" i="8"/>
  <c r="G275" i="8"/>
  <c r="A275" i="8"/>
  <c r="Z274" i="8"/>
  <c r="S274" i="8"/>
  <c r="T274" i="8" s="1"/>
  <c r="P274" i="8"/>
  <c r="R274" i="8" s="1"/>
  <c r="N274" i="8"/>
  <c r="K274" i="8"/>
  <c r="E240" i="7" s="1"/>
  <c r="I274" i="8"/>
  <c r="D240" i="7" s="1"/>
  <c r="H274" i="8"/>
  <c r="G274" i="8"/>
  <c r="F274" i="8"/>
  <c r="E274" i="8"/>
  <c r="D274" i="8"/>
  <c r="A274" i="8"/>
  <c r="G273" i="8"/>
  <c r="A273" i="8"/>
  <c r="Z272" i="8"/>
  <c r="T272" i="8"/>
  <c r="S272" i="8"/>
  <c r="P272" i="8"/>
  <c r="N272" i="8"/>
  <c r="G228" i="7" s="1"/>
  <c r="K272" i="8"/>
  <c r="E228" i="7" s="1"/>
  <c r="I272" i="8"/>
  <c r="D228" i="7" s="1"/>
  <c r="H272" i="8"/>
  <c r="G272" i="8"/>
  <c r="F272" i="8"/>
  <c r="E272" i="8"/>
  <c r="D272" i="8"/>
  <c r="A272" i="8"/>
  <c r="Z271" i="8"/>
  <c r="S271" i="8"/>
  <c r="T271" i="8" s="1"/>
  <c r="P271" i="8"/>
  <c r="O271" i="8"/>
  <c r="H212" i="7" s="1"/>
  <c r="N271" i="8"/>
  <c r="G212" i="7" s="1"/>
  <c r="K271" i="8"/>
  <c r="E212" i="7" s="1"/>
  <c r="I271" i="8"/>
  <c r="D212" i="7" s="1"/>
  <c r="H271" i="8"/>
  <c r="G271" i="8"/>
  <c r="F271" i="8"/>
  <c r="E271" i="8"/>
  <c r="D271" i="8"/>
  <c r="A271" i="8"/>
  <c r="Z270" i="8"/>
  <c r="T270" i="8"/>
  <c r="R270" i="8"/>
  <c r="Q270" i="8"/>
  <c r="S270" i="8"/>
  <c r="P270" i="8"/>
  <c r="O270" i="8"/>
  <c r="L270" i="8"/>
  <c r="M270" i="8" s="1"/>
  <c r="N270" i="8"/>
  <c r="K270" i="8"/>
  <c r="J270" i="8"/>
  <c r="I270" i="8"/>
  <c r="H270" i="8"/>
  <c r="G270" i="8"/>
  <c r="F270" i="8"/>
  <c r="E270" i="8"/>
  <c r="Z269" i="8"/>
  <c r="Q269" i="8"/>
  <c r="S269" i="8"/>
  <c r="P269" i="8"/>
  <c r="O269" i="8"/>
  <c r="L269" i="8"/>
  <c r="M269" i="8" s="1"/>
  <c r="N269" i="8"/>
  <c r="K269" i="8"/>
  <c r="J269" i="8"/>
  <c r="I269" i="8"/>
  <c r="H269" i="8"/>
  <c r="G269" i="8"/>
  <c r="F269" i="8"/>
  <c r="E269" i="8"/>
  <c r="Z268" i="8"/>
  <c r="S268" i="8"/>
  <c r="T268" i="8" s="1"/>
  <c r="P268" i="8"/>
  <c r="R268" i="8" s="1"/>
  <c r="N268" i="8"/>
  <c r="G223" i="7" s="1"/>
  <c r="K268" i="8"/>
  <c r="E223" i="7" s="1"/>
  <c r="I268" i="8"/>
  <c r="D223" i="7" s="1"/>
  <c r="H268" i="8"/>
  <c r="G268" i="8"/>
  <c r="F268" i="8"/>
  <c r="E268" i="8"/>
  <c r="D268" i="8"/>
  <c r="A268" i="8"/>
  <c r="Z267" i="8"/>
  <c r="S267" i="8"/>
  <c r="T267" i="8" s="1"/>
  <c r="P267" i="8"/>
  <c r="R267" i="8" s="1"/>
  <c r="N267" i="8"/>
  <c r="G222" i="7" s="1"/>
  <c r="K267" i="8"/>
  <c r="E222" i="7" s="1"/>
  <c r="I267" i="8"/>
  <c r="D222" i="7" s="1"/>
  <c r="H267" i="8"/>
  <c r="G267" i="8"/>
  <c r="F267" i="8"/>
  <c r="E267" i="8"/>
  <c r="D267" i="8"/>
  <c r="A267" i="8"/>
  <c r="Z266" i="8"/>
  <c r="T266" i="8"/>
  <c r="R266" i="8"/>
  <c r="Q266" i="8"/>
  <c r="S266" i="8"/>
  <c r="P266" i="8"/>
  <c r="M266" i="8"/>
  <c r="L266" i="8"/>
  <c r="O266" i="8" s="1"/>
  <c r="N266" i="8"/>
  <c r="K266" i="8"/>
  <c r="J266" i="8"/>
  <c r="I266" i="8"/>
  <c r="H266" i="8"/>
  <c r="G266" i="8"/>
  <c r="F266" i="8"/>
  <c r="E266" i="8"/>
  <c r="Z265" i="8"/>
  <c r="T265" i="8"/>
  <c r="Q265" i="8"/>
  <c r="R265" i="8" s="1"/>
  <c r="S265" i="8"/>
  <c r="P265" i="8"/>
  <c r="L265" i="8"/>
  <c r="O265" i="8" s="1"/>
  <c r="N265" i="8"/>
  <c r="K265" i="8"/>
  <c r="J265" i="8"/>
  <c r="I265" i="8"/>
  <c r="H265" i="8"/>
  <c r="G265" i="8"/>
  <c r="F265" i="8"/>
  <c r="E265" i="8"/>
  <c r="Z264" i="8"/>
  <c r="Q264" i="8"/>
  <c r="T264" i="8" s="1"/>
  <c r="S264" i="8"/>
  <c r="P264" i="8"/>
  <c r="L264" i="8"/>
  <c r="N264" i="8"/>
  <c r="K264" i="8"/>
  <c r="J264" i="8"/>
  <c r="I264" i="8"/>
  <c r="H264" i="8"/>
  <c r="G264" i="8"/>
  <c r="F264" i="8"/>
  <c r="E264" i="8"/>
  <c r="Z263" i="8"/>
  <c r="T263" i="8"/>
  <c r="R263" i="8"/>
  <c r="Q263" i="8"/>
  <c r="S263" i="8"/>
  <c r="P263" i="8"/>
  <c r="O263" i="8"/>
  <c r="M263" i="8"/>
  <c r="L263" i="8"/>
  <c r="N263" i="8"/>
  <c r="K263" i="8"/>
  <c r="J263" i="8"/>
  <c r="I263" i="8"/>
  <c r="H263" i="8"/>
  <c r="G263" i="8"/>
  <c r="F263" i="8"/>
  <c r="E263" i="8"/>
  <c r="Z262" i="8"/>
  <c r="T262" i="8"/>
  <c r="Q262" i="8"/>
  <c r="R262" i="8" s="1"/>
  <c r="S262" i="8"/>
  <c r="P262" i="8"/>
  <c r="O262" i="8"/>
  <c r="H186" i="7" s="1"/>
  <c r="L262" i="8"/>
  <c r="M262" i="8" s="1"/>
  <c r="F186" i="7" s="1"/>
  <c r="N262" i="8"/>
  <c r="G186" i="7" s="1"/>
  <c r="K262" i="8"/>
  <c r="E186" i="7" s="1"/>
  <c r="J262" i="8"/>
  <c r="I262" i="8"/>
  <c r="D186" i="7" s="1"/>
  <c r="H262" i="8"/>
  <c r="G262" i="8"/>
  <c r="F262" i="8"/>
  <c r="E262" i="8"/>
  <c r="Z261" i="8"/>
  <c r="Q261" i="8"/>
  <c r="T261" i="8" s="1"/>
  <c r="S261" i="8"/>
  <c r="P261" i="8"/>
  <c r="L261" i="8"/>
  <c r="O261" i="8" s="1"/>
  <c r="N261" i="8"/>
  <c r="K261" i="8"/>
  <c r="J261" i="8"/>
  <c r="I261" i="8"/>
  <c r="H261" i="8"/>
  <c r="G261" i="8"/>
  <c r="F261" i="8"/>
  <c r="E261" i="8"/>
  <c r="Z260" i="8"/>
  <c r="Q260" i="8"/>
  <c r="T260" i="8" s="1"/>
  <c r="S260" i="8"/>
  <c r="P260" i="8"/>
  <c r="O260" i="8"/>
  <c r="M260" i="8"/>
  <c r="L260" i="8"/>
  <c r="N260" i="8"/>
  <c r="K260" i="8"/>
  <c r="J260" i="8"/>
  <c r="I260" i="8"/>
  <c r="H260" i="8"/>
  <c r="G260" i="8"/>
  <c r="F260" i="8"/>
  <c r="E260" i="8"/>
  <c r="Z259" i="8"/>
  <c r="Q259" i="8"/>
  <c r="S259" i="8"/>
  <c r="P259" i="8"/>
  <c r="O259" i="8"/>
  <c r="H190" i="7" s="1"/>
  <c r="L259" i="8"/>
  <c r="M259" i="8" s="1"/>
  <c r="F190" i="7" s="1"/>
  <c r="N259" i="8"/>
  <c r="G190" i="7" s="1"/>
  <c r="K259" i="8"/>
  <c r="E190" i="7" s="1"/>
  <c r="J259" i="8"/>
  <c r="I259" i="8"/>
  <c r="D190" i="7" s="1"/>
  <c r="H259" i="8"/>
  <c r="G259" i="8"/>
  <c r="F259" i="8"/>
  <c r="E259" i="8"/>
  <c r="Z258" i="8"/>
  <c r="T258" i="8"/>
  <c r="R258" i="8"/>
  <c r="Q258" i="8"/>
  <c r="S258" i="8"/>
  <c r="P258" i="8"/>
  <c r="L258" i="8"/>
  <c r="O258" i="8" s="1"/>
  <c r="H196" i="7" s="1"/>
  <c r="N258" i="8"/>
  <c r="G196" i="7" s="1"/>
  <c r="K258" i="8"/>
  <c r="E196" i="7" s="1"/>
  <c r="J258" i="8"/>
  <c r="I258" i="8"/>
  <c r="D196" i="7" s="1"/>
  <c r="H258" i="8"/>
  <c r="G258" i="8"/>
  <c r="F258" i="8"/>
  <c r="E258" i="8"/>
  <c r="Z257" i="8"/>
  <c r="T257" i="8"/>
  <c r="Q257" i="8"/>
  <c r="R257" i="8" s="1"/>
  <c r="S257" i="8"/>
  <c r="P257" i="8"/>
  <c r="L257" i="8"/>
  <c r="O257" i="8" s="1"/>
  <c r="N257" i="8"/>
  <c r="K257" i="8"/>
  <c r="J257" i="8"/>
  <c r="I257" i="8"/>
  <c r="H257" i="8"/>
  <c r="G257" i="8"/>
  <c r="F257" i="8"/>
  <c r="E257" i="8"/>
  <c r="Z256" i="8"/>
  <c r="Q256" i="8"/>
  <c r="T256" i="8" s="1"/>
  <c r="S256" i="8"/>
  <c r="P256" i="8"/>
  <c r="L256" i="8"/>
  <c r="N256" i="8"/>
  <c r="K256" i="8"/>
  <c r="J256" i="8"/>
  <c r="I256" i="8"/>
  <c r="H256" i="8"/>
  <c r="G256" i="8"/>
  <c r="F256" i="8"/>
  <c r="E256" i="8"/>
  <c r="Z255" i="8"/>
  <c r="T255" i="8"/>
  <c r="R255" i="8"/>
  <c r="Q255" i="8"/>
  <c r="S255" i="8"/>
  <c r="P255" i="8"/>
  <c r="O255" i="8"/>
  <c r="M255" i="8"/>
  <c r="L255" i="8"/>
  <c r="N255" i="8"/>
  <c r="K255" i="8"/>
  <c r="J255" i="8"/>
  <c r="I255" i="8"/>
  <c r="H255" i="8"/>
  <c r="G255" i="8"/>
  <c r="F255" i="8"/>
  <c r="E255" i="8"/>
  <c r="Z254" i="8"/>
  <c r="T254" i="8"/>
  <c r="Q254" i="8"/>
  <c r="R254" i="8" s="1"/>
  <c r="S254" i="8"/>
  <c r="P254" i="8"/>
  <c r="O254" i="8"/>
  <c r="L254" i="8"/>
  <c r="M254" i="8" s="1"/>
  <c r="N254" i="8"/>
  <c r="K254" i="8"/>
  <c r="J254" i="8"/>
  <c r="I254" i="8"/>
  <c r="H254" i="8"/>
  <c r="G254" i="8"/>
  <c r="F254" i="8"/>
  <c r="E254" i="8"/>
  <c r="Z253" i="8"/>
  <c r="Q253" i="8"/>
  <c r="T253" i="8" s="1"/>
  <c r="S253" i="8"/>
  <c r="P253" i="8"/>
  <c r="L253" i="8"/>
  <c r="O253" i="8" s="1"/>
  <c r="N253" i="8"/>
  <c r="K253" i="8"/>
  <c r="J253" i="8"/>
  <c r="I253" i="8"/>
  <c r="H253" i="8"/>
  <c r="G253" i="8"/>
  <c r="F253" i="8"/>
  <c r="E253" i="8"/>
  <c r="Z252" i="8"/>
  <c r="Q252" i="8"/>
  <c r="T252" i="8" s="1"/>
  <c r="S252" i="8"/>
  <c r="P252" i="8"/>
  <c r="O252" i="8"/>
  <c r="M252" i="8"/>
  <c r="L252" i="8"/>
  <c r="N252" i="8"/>
  <c r="K252" i="8"/>
  <c r="J252" i="8"/>
  <c r="I252" i="8"/>
  <c r="H252" i="8"/>
  <c r="G252" i="8"/>
  <c r="F252" i="8"/>
  <c r="E252" i="8"/>
  <c r="Z251" i="8"/>
  <c r="Q251" i="8"/>
  <c r="S251" i="8"/>
  <c r="P251" i="8"/>
  <c r="O251" i="8"/>
  <c r="L251" i="8"/>
  <c r="M251" i="8" s="1"/>
  <c r="N251" i="8"/>
  <c r="K251" i="8"/>
  <c r="J251" i="8"/>
  <c r="I251" i="8"/>
  <c r="H251" i="8"/>
  <c r="G251" i="8"/>
  <c r="F251" i="8"/>
  <c r="E251" i="8"/>
  <c r="Z250" i="8"/>
  <c r="T250" i="8"/>
  <c r="R250" i="8"/>
  <c r="Q250" i="8"/>
  <c r="S250" i="8"/>
  <c r="P250" i="8"/>
  <c r="L250" i="8"/>
  <c r="O250" i="8" s="1"/>
  <c r="N250" i="8"/>
  <c r="K250" i="8"/>
  <c r="J250" i="8"/>
  <c r="I250" i="8"/>
  <c r="H250" i="8"/>
  <c r="G250" i="8"/>
  <c r="F250" i="8"/>
  <c r="E250" i="8"/>
  <c r="Z249" i="8"/>
  <c r="T249" i="8"/>
  <c r="Q249" i="8"/>
  <c r="R249" i="8" s="1"/>
  <c r="S249" i="8"/>
  <c r="P249" i="8"/>
  <c r="L249" i="8"/>
  <c r="O249" i="8" s="1"/>
  <c r="N249" i="8"/>
  <c r="K249" i="8"/>
  <c r="J249" i="8"/>
  <c r="I249" i="8"/>
  <c r="H249" i="8"/>
  <c r="G249" i="8"/>
  <c r="F249" i="8"/>
  <c r="E249" i="8"/>
  <c r="Z248" i="8"/>
  <c r="Q248" i="8"/>
  <c r="T248" i="8" s="1"/>
  <c r="S248" i="8"/>
  <c r="P248" i="8"/>
  <c r="L248" i="8"/>
  <c r="N248" i="8"/>
  <c r="K248" i="8"/>
  <c r="J248" i="8"/>
  <c r="I248" i="8"/>
  <c r="H248" i="8"/>
  <c r="G248" i="8"/>
  <c r="F248" i="8"/>
  <c r="E248" i="8"/>
  <c r="Z247" i="8"/>
  <c r="T247" i="8"/>
  <c r="R247" i="8"/>
  <c r="Q247" i="8"/>
  <c r="S247" i="8"/>
  <c r="P247" i="8"/>
  <c r="O247" i="8"/>
  <c r="M247" i="8"/>
  <c r="L247" i="8"/>
  <c r="N247" i="8"/>
  <c r="K247" i="8"/>
  <c r="J247" i="8"/>
  <c r="I247" i="8"/>
  <c r="H247" i="8"/>
  <c r="G247" i="8"/>
  <c r="F247" i="8"/>
  <c r="E247" i="8"/>
  <c r="Z246" i="8"/>
  <c r="T246" i="8"/>
  <c r="Q246" i="8"/>
  <c r="R246" i="8" s="1"/>
  <c r="S246" i="8"/>
  <c r="P246" i="8"/>
  <c r="O246" i="8"/>
  <c r="L246" i="8"/>
  <c r="M246" i="8" s="1"/>
  <c r="N246" i="8"/>
  <c r="K246" i="8"/>
  <c r="J246" i="8"/>
  <c r="I246" i="8"/>
  <c r="H246" i="8"/>
  <c r="G246" i="8"/>
  <c r="F246" i="8"/>
  <c r="E246" i="8"/>
  <c r="Z245" i="8"/>
  <c r="Q245" i="8"/>
  <c r="T245" i="8" s="1"/>
  <c r="S245" i="8"/>
  <c r="P245" i="8"/>
  <c r="L245" i="8"/>
  <c r="O245" i="8" s="1"/>
  <c r="N245" i="8"/>
  <c r="K245" i="8"/>
  <c r="J245" i="8"/>
  <c r="I245" i="8"/>
  <c r="H245" i="8"/>
  <c r="G245" i="8"/>
  <c r="F245" i="8"/>
  <c r="E245" i="8"/>
  <c r="Z244" i="8"/>
  <c r="S244" i="8"/>
  <c r="T244" i="8" s="1"/>
  <c r="P244" i="8"/>
  <c r="R244" i="8" s="1"/>
  <c r="N244" i="8"/>
  <c r="G220" i="7" s="1"/>
  <c r="M244" i="8"/>
  <c r="F220" i="7" s="1"/>
  <c r="K244" i="8"/>
  <c r="E220" i="7" s="1"/>
  <c r="I244" i="8"/>
  <c r="D220" i="7" s="1"/>
  <c r="H244" i="8"/>
  <c r="G244" i="8"/>
  <c r="F244" i="8"/>
  <c r="E244" i="8"/>
  <c r="D244" i="8"/>
  <c r="A244" i="8"/>
  <c r="Z243" i="8"/>
  <c r="Q243" i="8"/>
  <c r="T243" i="8" s="1"/>
  <c r="S243" i="8"/>
  <c r="P243" i="8"/>
  <c r="O243" i="8"/>
  <c r="M243" i="8"/>
  <c r="F175" i="7" s="1"/>
  <c r="L243" i="8"/>
  <c r="N243" i="8"/>
  <c r="G175" i="7" s="1"/>
  <c r="K243" i="8"/>
  <c r="E175" i="7" s="1"/>
  <c r="J243" i="8"/>
  <c r="I243" i="8"/>
  <c r="D175" i="7" s="1"/>
  <c r="H243" i="8"/>
  <c r="G243" i="8"/>
  <c r="F243" i="8"/>
  <c r="E243" i="8"/>
  <c r="Z242" i="8"/>
  <c r="Q242" i="8"/>
  <c r="S242" i="8"/>
  <c r="P242" i="8"/>
  <c r="O242" i="8"/>
  <c r="L242" i="8"/>
  <c r="M242" i="8" s="1"/>
  <c r="N242" i="8"/>
  <c r="G182" i="7" s="1"/>
  <c r="K242" i="8"/>
  <c r="E182" i="7" s="1"/>
  <c r="J242" i="8"/>
  <c r="I242" i="8"/>
  <c r="H242" i="8"/>
  <c r="G242" i="8"/>
  <c r="F242" i="8"/>
  <c r="E242" i="8"/>
  <c r="Z241" i="8"/>
  <c r="T241" i="8"/>
  <c r="R241" i="8"/>
  <c r="Q241" i="8"/>
  <c r="S241" i="8"/>
  <c r="P241" i="8"/>
  <c r="M241" i="8"/>
  <c r="L241" i="8"/>
  <c r="O241" i="8" s="1"/>
  <c r="N241" i="8"/>
  <c r="K241" i="8"/>
  <c r="J241" i="8"/>
  <c r="I241" i="8"/>
  <c r="H241" i="8"/>
  <c r="G241" i="8"/>
  <c r="F241" i="8"/>
  <c r="E241" i="8"/>
  <c r="Z240" i="8"/>
  <c r="T240" i="8"/>
  <c r="Q240" i="8"/>
  <c r="R240" i="8" s="1"/>
  <c r="S240" i="8"/>
  <c r="P240" i="8"/>
  <c r="L240" i="8"/>
  <c r="O240" i="8" s="1"/>
  <c r="H184" i="7" s="1"/>
  <c r="N240" i="8"/>
  <c r="G184" i="7" s="1"/>
  <c r="K240" i="8"/>
  <c r="E184" i="7" s="1"/>
  <c r="J240" i="8"/>
  <c r="I240" i="8"/>
  <c r="D184" i="7" s="1"/>
  <c r="H240" i="8"/>
  <c r="G240" i="8"/>
  <c r="F240" i="8"/>
  <c r="E240" i="8"/>
  <c r="Z239" i="8"/>
  <c r="Q239" i="8"/>
  <c r="T239" i="8" s="1"/>
  <c r="S239" i="8"/>
  <c r="P239" i="8"/>
  <c r="L239" i="8"/>
  <c r="N239" i="8"/>
  <c r="G188" i="7" s="1"/>
  <c r="K239" i="8"/>
  <c r="E188" i="7" s="1"/>
  <c r="J239" i="8"/>
  <c r="I239" i="8"/>
  <c r="H239" i="8"/>
  <c r="G239" i="8"/>
  <c r="F239" i="8"/>
  <c r="E239" i="8"/>
  <c r="Z238" i="8"/>
  <c r="T238" i="8"/>
  <c r="R238" i="8"/>
  <c r="Q238" i="8"/>
  <c r="S238" i="8"/>
  <c r="P238" i="8"/>
  <c r="O238" i="8"/>
  <c r="H189" i="7" s="1"/>
  <c r="M238" i="8"/>
  <c r="F189" i="7" s="1"/>
  <c r="L238" i="8"/>
  <c r="N238" i="8"/>
  <c r="G189" i="7" s="1"/>
  <c r="K238" i="8"/>
  <c r="E189" i="7" s="1"/>
  <c r="J238" i="8"/>
  <c r="I238" i="8"/>
  <c r="H238" i="8"/>
  <c r="G238" i="8"/>
  <c r="F238" i="8"/>
  <c r="E238" i="8"/>
  <c r="Z237" i="8"/>
  <c r="T237" i="8"/>
  <c r="Q237" i="8"/>
  <c r="R237" i="8" s="1"/>
  <c r="S237" i="8"/>
  <c r="P237" i="8"/>
  <c r="O237" i="8"/>
  <c r="L237" i="8"/>
  <c r="M237" i="8" s="1"/>
  <c r="N237" i="8"/>
  <c r="K237" i="8"/>
  <c r="J237" i="8"/>
  <c r="I237" i="8"/>
  <c r="H237" i="8"/>
  <c r="G237" i="8"/>
  <c r="F237" i="8"/>
  <c r="E237" i="8"/>
  <c r="Z236" i="8"/>
  <c r="R236" i="8"/>
  <c r="Q236" i="8"/>
  <c r="T236" i="8" s="1"/>
  <c r="S236" i="8"/>
  <c r="P236" i="8"/>
  <c r="L236" i="8"/>
  <c r="O236" i="8" s="1"/>
  <c r="N236" i="8"/>
  <c r="G203" i="7" s="1"/>
  <c r="K236" i="8"/>
  <c r="E203" i="7" s="1"/>
  <c r="J236" i="8"/>
  <c r="I236" i="8"/>
  <c r="D203" i="7" s="1"/>
  <c r="H236" i="8"/>
  <c r="G236" i="8"/>
  <c r="F236" i="8"/>
  <c r="E236" i="8"/>
  <c r="Z235" i="8"/>
  <c r="Q235" i="8"/>
  <c r="T235" i="8" s="1"/>
  <c r="S235" i="8"/>
  <c r="P235" i="8"/>
  <c r="O235" i="8"/>
  <c r="M235" i="8"/>
  <c r="L235" i="8"/>
  <c r="N235" i="8"/>
  <c r="G204" i="7" s="1"/>
  <c r="K235" i="8"/>
  <c r="E204" i="7" s="1"/>
  <c r="J235" i="8"/>
  <c r="I235" i="8"/>
  <c r="D204" i="7" s="1"/>
  <c r="H235" i="8"/>
  <c r="G235" i="8"/>
  <c r="F235" i="8"/>
  <c r="E235" i="8"/>
  <c r="Z234" i="8"/>
  <c r="Q234" i="8"/>
  <c r="S234" i="8"/>
  <c r="P234" i="8"/>
  <c r="O234" i="8"/>
  <c r="L234" i="8"/>
  <c r="M234" i="8" s="1"/>
  <c r="N234" i="8"/>
  <c r="K234" i="8"/>
  <c r="J234" i="8"/>
  <c r="I234" i="8"/>
  <c r="H234" i="8"/>
  <c r="G234" i="8"/>
  <c r="F234" i="8"/>
  <c r="E234" i="8"/>
  <c r="Z233" i="8"/>
  <c r="T233" i="8"/>
  <c r="R233" i="8"/>
  <c r="Q233" i="8"/>
  <c r="S233" i="8"/>
  <c r="P233" i="8"/>
  <c r="M233" i="8"/>
  <c r="L233" i="8"/>
  <c r="O233" i="8" s="1"/>
  <c r="H207" i="7" s="1"/>
  <c r="N233" i="8"/>
  <c r="G207" i="7" s="1"/>
  <c r="K233" i="8"/>
  <c r="E207" i="7" s="1"/>
  <c r="J233" i="8"/>
  <c r="I233" i="8"/>
  <c r="H233" i="8"/>
  <c r="G233" i="8"/>
  <c r="F233" i="8"/>
  <c r="E233" i="8"/>
  <c r="Z232" i="8"/>
  <c r="T232" i="8"/>
  <c r="Q232" i="8"/>
  <c r="R232" i="8" s="1"/>
  <c r="S232" i="8"/>
  <c r="P232" i="8"/>
  <c r="L232" i="8"/>
  <c r="O232" i="8" s="1"/>
  <c r="H208" i="7" s="1"/>
  <c r="N232" i="8"/>
  <c r="G208" i="7" s="1"/>
  <c r="K232" i="8"/>
  <c r="E208" i="7" s="1"/>
  <c r="J232" i="8"/>
  <c r="I232" i="8"/>
  <c r="H232" i="8"/>
  <c r="G232" i="8"/>
  <c r="F232" i="8"/>
  <c r="E232" i="8"/>
  <c r="Z231" i="8"/>
  <c r="Q231" i="8"/>
  <c r="T231" i="8" s="1"/>
  <c r="S231" i="8"/>
  <c r="P231" i="8"/>
  <c r="L231" i="8"/>
  <c r="N231" i="8"/>
  <c r="G211" i="7" s="1"/>
  <c r="K231" i="8"/>
  <c r="E211" i="7" s="1"/>
  <c r="J231" i="8"/>
  <c r="I231" i="8"/>
  <c r="D211" i="7" s="1"/>
  <c r="H231" i="8"/>
  <c r="G231" i="8"/>
  <c r="F231" i="8"/>
  <c r="E231" i="8"/>
  <c r="Z230" i="8"/>
  <c r="T230" i="8"/>
  <c r="R230" i="8"/>
  <c r="Q230" i="8"/>
  <c r="S230" i="8"/>
  <c r="P230" i="8"/>
  <c r="O230" i="8"/>
  <c r="M230" i="8"/>
  <c r="L230" i="8"/>
  <c r="N230" i="8"/>
  <c r="K230" i="8"/>
  <c r="J230" i="8"/>
  <c r="I230" i="8"/>
  <c r="H230" i="8"/>
  <c r="G230" i="8"/>
  <c r="F230" i="8"/>
  <c r="E230" i="8"/>
  <c r="Z229" i="8"/>
  <c r="T229" i="8"/>
  <c r="Q229" i="8"/>
  <c r="R229" i="8" s="1"/>
  <c r="S229" i="8"/>
  <c r="P229" i="8"/>
  <c r="O229" i="8"/>
  <c r="H216" i="7" s="1"/>
  <c r="L229" i="8"/>
  <c r="M229" i="8" s="1"/>
  <c r="N229" i="8"/>
  <c r="G216" i="7" s="1"/>
  <c r="K229" i="8"/>
  <c r="E216" i="7" s="1"/>
  <c r="J229" i="8"/>
  <c r="I229" i="8"/>
  <c r="H229" i="8"/>
  <c r="G229" i="8"/>
  <c r="F229" i="8"/>
  <c r="E229" i="8"/>
  <c r="Z228" i="8"/>
  <c r="R228" i="8"/>
  <c r="Q228" i="8"/>
  <c r="T228" i="8" s="1"/>
  <c r="S228" i="8"/>
  <c r="P228" i="8"/>
  <c r="L228" i="8"/>
  <c r="O228" i="8" s="1"/>
  <c r="N228" i="8"/>
  <c r="G217" i="7" s="1"/>
  <c r="K228" i="8"/>
  <c r="E217" i="7" s="1"/>
  <c r="J228" i="8"/>
  <c r="I228" i="8"/>
  <c r="D217" i="7" s="1"/>
  <c r="H228" i="8"/>
  <c r="G228" i="8"/>
  <c r="F228" i="8"/>
  <c r="E228" i="8"/>
  <c r="Z227" i="8"/>
  <c r="Q227" i="8"/>
  <c r="T227" i="8" s="1"/>
  <c r="S227" i="8"/>
  <c r="P227" i="8"/>
  <c r="O227" i="8"/>
  <c r="M227" i="8"/>
  <c r="L227" i="8"/>
  <c r="N227" i="8"/>
  <c r="G224" i="7" s="1"/>
  <c r="K227" i="8"/>
  <c r="E224" i="7" s="1"/>
  <c r="J227" i="8"/>
  <c r="I227" i="8"/>
  <c r="D224" i="7" s="1"/>
  <c r="H227" i="8"/>
  <c r="G227" i="8"/>
  <c r="F227" i="8"/>
  <c r="E227" i="8"/>
  <c r="Z226" i="8"/>
  <c r="Q226" i="8"/>
  <c r="S226" i="8"/>
  <c r="P226" i="8"/>
  <c r="O226" i="8"/>
  <c r="L226" i="8"/>
  <c r="M226" i="8" s="1"/>
  <c r="F227" i="7" s="1"/>
  <c r="N226" i="8"/>
  <c r="G227" i="7" s="1"/>
  <c r="K226" i="8"/>
  <c r="E227" i="7" s="1"/>
  <c r="J226" i="8"/>
  <c r="I226" i="8"/>
  <c r="D227" i="7" s="1"/>
  <c r="H226" i="8"/>
  <c r="G226" i="8"/>
  <c r="F226" i="8"/>
  <c r="E226" i="8"/>
  <c r="Z225" i="8"/>
  <c r="T225" i="8"/>
  <c r="R225" i="8"/>
  <c r="Q225" i="8"/>
  <c r="S225" i="8"/>
  <c r="P225" i="8"/>
  <c r="M225" i="8"/>
  <c r="L225" i="8"/>
  <c r="O225" i="8" s="1"/>
  <c r="H229" i="7" s="1"/>
  <c r="N225" i="8"/>
  <c r="G229" i="7" s="1"/>
  <c r="K225" i="8"/>
  <c r="E229" i="7" s="1"/>
  <c r="J225" i="8"/>
  <c r="I225" i="8"/>
  <c r="D229" i="7" s="1"/>
  <c r="H225" i="8"/>
  <c r="G225" i="8"/>
  <c r="F225" i="8"/>
  <c r="E225" i="8"/>
  <c r="Z224" i="8"/>
  <c r="T224" i="8"/>
  <c r="Q224" i="8"/>
  <c r="R224" i="8" s="1"/>
  <c r="S224" i="8"/>
  <c r="P224" i="8"/>
  <c r="L224" i="8"/>
  <c r="O224" i="8" s="1"/>
  <c r="H236" i="7" s="1"/>
  <c r="N224" i="8"/>
  <c r="G236" i="7" s="1"/>
  <c r="K224" i="8"/>
  <c r="E236" i="7" s="1"/>
  <c r="J224" i="8"/>
  <c r="I224" i="8"/>
  <c r="H224" i="8"/>
  <c r="G224" i="8"/>
  <c r="F224" i="8"/>
  <c r="E224" i="8"/>
  <c r="Z223" i="8"/>
  <c r="S223" i="8"/>
  <c r="T223" i="8" s="1"/>
  <c r="R223" i="8"/>
  <c r="P223" i="8"/>
  <c r="O223" i="8"/>
  <c r="N223" i="8"/>
  <c r="K223" i="8"/>
  <c r="M223" i="8" s="1"/>
  <c r="I223" i="8"/>
  <c r="H223" i="8"/>
  <c r="G223" i="8"/>
  <c r="F223" i="8"/>
  <c r="E223" i="8"/>
  <c r="D223" i="8"/>
  <c r="A223" i="8"/>
  <c r="Z222" i="8"/>
  <c r="S222" i="8"/>
  <c r="T222" i="8" s="1"/>
  <c r="R222" i="8"/>
  <c r="P222" i="8"/>
  <c r="O222" i="8"/>
  <c r="H226" i="7" s="1"/>
  <c r="N222" i="8"/>
  <c r="G226" i="7" s="1"/>
  <c r="K222" i="8"/>
  <c r="I222" i="8"/>
  <c r="D226" i="7" s="1"/>
  <c r="H222" i="8"/>
  <c r="G222" i="8"/>
  <c r="F222" i="8"/>
  <c r="E222" i="8"/>
  <c r="D222" i="8"/>
  <c r="A222" i="8"/>
  <c r="Z221" i="8"/>
  <c r="Q221" i="8"/>
  <c r="T221" i="8" s="1"/>
  <c r="S221" i="8"/>
  <c r="P221" i="8"/>
  <c r="L221" i="8"/>
  <c r="N221" i="8"/>
  <c r="K221" i="8"/>
  <c r="J221" i="8"/>
  <c r="I221" i="8"/>
  <c r="H221" i="8"/>
  <c r="G221" i="8"/>
  <c r="F221" i="8"/>
  <c r="E221" i="8"/>
  <c r="Z220" i="8"/>
  <c r="T220" i="8"/>
  <c r="R220" i="8"/>
  <c r="Q220" i="8"/>
  <c r="S220" i="8"/>
  <c r="P220" i="8"/>
  <c r="O220" i="8"/>
  <c r="H192" i="7" s="1"/>
  <c r="M220" i="8"/>
  <c r="F192" i="7" s="1"/>
  <c r="L220" i="8"/>
  <c r="N220" i="8"/>
  <c r="G192" i="7" s="1"/>
  <c r="K220" i="8"/>
  <c r="E192" i="7" s="1"/>
  <c r="J220" i="8"/>
  <c r="I220" i="8"/>
  <c r="D192" i="7" s="1"/>
  <c r="H220" i="8"/>
  <c r="G220" i="8"/>
  <c r="F220" i="8"/>
  <c r="E220" i="8"/>
  <c r="Z219" i="8"/>
  <c r="T219" i="8"/>
  <c r="Q219" i="8"/>
  <c r="R219" i="8" s="1"/>
  <c r="S219" i="8"/>
  <c r="P219" i="8"/>
  <c r="O219" i="8"/>
  <c r="H195" i="7" s="1"/>
  <c r="L219" i="8"/>
  <c r="M219" i="8" s="1"/>
  <c r="F195" i="7" s="1"/>
  <c r="N219" i="8"/>
  <c r="G195" i="7" s="1"/>
  <c r="K219" i="8"/>
  <c r="E195" i="7" s="1"/>
  <c r="J219" i="8"/>
  <c r="I219" i="8"/>
  <c r="D195" i="7" s="1"/>
  <c r="H219" i="8"/>
  <c r="G219" i="8"/>
  <c r="F219" i="8"/>
  <c r="E219" i="8"/>
  <c r="Z218" i="8"/>
  <c r="R218" i="8"/>
  <c r="Q218" i="8"/>
  <c r="T218" i="8" s="1"/>
  <c r="S218" i="8"/>
  <c r="P218" i="8"/>
  <c r="L218" i="8"/>
  <c r="O218" i="8" s="1"/>
  <c r="N218" i="8"/>
  <c r="K218" i="8"/>
  <c r="J218" i="8"/>
  <c r="I218" i="8"/>
  <c r="H218" i="8"/>
  <c r="G218" i="8"/>
  <c r="F218" i="8"/>
  <c r="E218" i="8"/>
  <c r="Z217" i="8"/>
  <c r="Q217" i="8"/>
  <c r="T217" i="8" s="1"/>
  <c r="S217" i="8"/>
  <c r="P217" i="8"/>
  <c r="O217" i="8"/>
  <c r="H230" i="7" s="1"/>
  <c r="M217" i="8"/>
  <c r="F230" i="7" s="1"/>
  <c r="L217" i="8"/>
  <c r="N217" i="8"/>
  <c r="G230" i="7" s="1"/>
  <c r="K217" i="8"/>
  <c r="E230" i="7" s="1"/>
  <c r="J217" i="8"/>
  <c r="I217" i="8"/>
  <c r="D230" i="7" s="1"/>
  <c r="H217" i="8"/>
  <c r="G217" i="8"/>
  <c r="F217" i="8"/>
  <c r="E217" i="8"/>
  <c r="Z216" i="8"/>
  <c r="Q216" i="8"/>
  <c r="S216" i="8"/>
  <c r="P216" i="8"/>
  <c r="O216" i="8"/>
  <c r="H176" i="7" s="1"/>
  <c r="L216" i="8"/>
  <c r="M216" i="8" s="1"/>
  <c r="F176" i="7" s="1"/>
  <c r="N216" i="8"/>
  <c r="G176" i="7" s="1"/>
  <c r="K216" i="8"/>
  <c r="E176" i="7" s="1"/>
  <c r="J216" i="8"/>
  <c r="I216" i="8"/>
  <c r="D176" i="7" s="1"/>
  <c r="H216" i="8"/>
  <c r="G216" i="8"/>
  <c r="F216" i="8"/>
  <c r="E216" i="8"/>
  <c r="Z215" i="8"/>
  <c r="T215" i="8"/>
  <c r="R215" i="8"/>
  <c r="Q215" i="8"/>
  <c r="S215" i="8"/>
  <c r="P215" i="8"/>
  <c r="M215" i="8"/>
  <c r="L215" i="8"/>
  <c r="O215" i="8" s="1"/>
  <c r="N215" i="8"/>
  <c r="K215" i="8"/>
  <c r="J215" i="8"/>
  <c r="I215" i="8"/>
  <c r="H215" i="8"/>
  <c r="G215" i="8"/>
  <c r="F215" i="8"/>
  <c r="E215" i="8"/>
  <c r="Z214" i="8"/>
  <c r="T214" i="8"/>
  <c r="Q214" i="8"/>
  <c r="R214" i="8" s="1"/>
  <c r="S214" i="8"/>
  <c r="P214" i="8"/>
  <c r="L214" i="8"/>
  <c r="O214" i="8" s="1"/>
  <c r="N214" i="8"/>
  <c r="K214" i="8"/>
  <c r="J214" i="8"/>
  <c r="I214" i="8"/>
  <c r="H214" i="8"/>
  <c r="G214" i="8"/>
  <c r="F214" i="8"/>
  <c r="E214" i="8"/>
  <c r="Z213" i="8"/>
  <c r="Q213" i="8"/>
  <c r="T213" i="8" s="1"/>
  <c r="S213" i="8"/>
  <c r="P213" i="8"/>
  <c r="L213" i="8"/>
  <c r="N213" i="8"/>
  <c r="G209" i="7" s="1"/>
  <c r="K213" i="8"/>
  <c r="E209" i="7" s="1"/>
  <c r="J213" i="8"/>
  <c r="I213" i="8"/>
  <c r="D209" i="7" s="1"/>
  <c r="H213" i="8"/>
  <c r="G213" i="8"/>
  <c r="F213" i="8"/>
  <c r="E213" i="8"/>
  <c r="Z212" i="8"/>
  <c r="T212" i="8"/>
  <c r="R212" i="8"/>
  <c r="Q212" i="8"/>
  <c r="S212" i="8"/>
  <c r="P212" i="8"/>
  <c r="O212" i="8"/>
  <c r="M212" i="8"/>
  <c r="L212" i="8"/>
  <c r="N212" i="8"/>
  <c r="K212" i="8"/>
  <c r="J212" i="8"/>
  <c r="I212" i="8"/>
  <c r="H212" i="8"/>
  <c r="G212" i="8"/>
  <c r="F212" i="8"/>
  <c r="E212" i="8"/>
  <c r="Z211" i="8"/>
  <c r="T211" i="8"/>
  <c r="Q211" i="8"/>
  <c r="R211" i="8" s="1"/>
  <c r="S211" i="8"/>
  <c r="P211" i="8"/>
  <c r="O211" i="8"/>
  <c r="H218" i="7" s="1"/>
  <c r="L211" i="8"/>
  <c r="M211" i="8" s="1"/>
  <c r="F218" i="7" s="1"/>
  <c r="N211" i="8"/>
  <c r="G218" i="7" s="1"/>
  <c r="K211" i="8"/>
  <c r="E218" i="7" s="1"/>
  <c r="J211" i="8"/>
  <c r="I211" i="8"/>
  <c r="D218" i="7" s="1"/>
  <c r="H211" i="8"/>
  <c r="G211" i="8"/>
  <c r="F211" i="8"/>
  <c r="E211" i="8"/>
  <c r="Z210" i="8"/>
  <c r="R210" i="8"/>
  <c r="Q210" i="8"/>
  <c r="T210" i="8" s="1"/>
  <c r="S210" i="8"/>
  <c r="P210" i="8"/>
  <c r="L210" i="8"/>
  <c r="O210" i="8" s="1"/>
  <c r="H219" i="7" s="1"/>
  <c r="N210" i="8"/>
  <c r="G219" i="7" s="1"/>
  <c r="K210" i="8"/>
  <c r="E219" i="7" s="1"/>
  <c r="J210" i="8"/>
  <c r="I210" i="8"/>
  <c r="D219" i="7" s="1"/>
  <c r="H210" i="8"/>
  <c r="G210" i="8"/>
  <c r="F210" i="8"/>
  <c r="E210" i="8"/>
  <c r="Z209" i="8"/>
  <c r="Q209" i="8"/>
  <c r="T209" i="8" s="1"/>
  <c r="S209" i="8"/>
  <c r="P209" i="8"/>
  <c r="O209" i="8"/>
  <c r="M209" i="8"/>
  <c r="L209" i="8"/>
  <c r="N209" i="8"/>
  <c r="K209" i="8"/>
  <c r="J209" i="8"/>
  <c r="I209" i="8"/>
  <c r="H209" i="8"/>
  <c r="G209" i="8"/>
  <c r="F209" i="8"/>
  <c r="E209" i="8"/>
  <c r="Z208" i="8"/>
  <c r="Q208" i="8"/>
  <c r="S208" i="8"/>
  <c r="P208" i="8"/>
  <c r="O208" i="8"/>
  <c r="H178" i="7" s="1"/>
  <c r="L208" i="8"/>
  <c r="M208" i="8" s="1"/>
  <c r="F178" i="7" s="1"/>
  <c r="N208" i="8"/>
  <c r="G178" i="7" s="1"/>
  <c r="K208" i="8"/>
  <c r="E178" i="7" s="1"/>
  <c r="J208" i="8"/>
  <c r="I208" i="8"/>
  <c r="D178" i="7" s="1"/>
  <c r="H208" i="8"/>
  <c r="G208" i="8"/>
  <c r="F208" i="8"/>
  <c r="E208" i="8"/>
  <c r="Z207" i="8"/>
  <c r="T207" i="8"/>
  <c r="R207" i="8"/>
  <c r="Q207" i="8"/>
  <c r="S207" i="8"/>
  <c r="P207" i="8"/>
  <c r="M207" i="8"/>
  <c r="F187" i="7" s="1"/>
  <c r="L207" i="8"/>
  <c r="O207" i="8" s="1"/>
  <c r="H187" i="7" s="1"/>
  <c r="N207" i="8"/>
  <c r="G187" i="7" s="1"/>
  <c r="K207" i="8"/>
  <c r="E187" i="7" s="1"/>
  <c r="J207" i="8"/>
  <c r="I207" i="8"/>
  <c r="D187" i="7" s="1"/>
  <c r="H207" i="8"/>
  <c r="G207" i="8"/>
  <c r="F207" i="8"/>
  <c r="E207" i="8"/>
  <c r="Z206" i="8"/>
  <c r="T206" i="8"/>
  <c r="Q206" i="8"/>
  <c r="R206" i="8" s="1"/>
  <c r="S206" i="8"/>
  <c r="P206" i="8"/>
  <c r="L206" i="8"/>
  <c r="O206" i="8" s="1"/>
  <c r="H198" i="7" s="1"/>
  <c r="N206" i="8"/>
  <c r="G198" i="7" s="1"/>
  <c r="K206" i="8"/>
  <c r="E198" i="7" s="1"/>
  <c r="J206" i="8"/>
  <c r="I206" i="8"/>
  <c r="D198" i="7" s="1"/>
  <c r="H206" i="8"/>
  <c r="G206" i="8"/>
  <c r="F206" i="8"/>
  <c r="E206" i="8"/>
  <c r="Z205" i="8"/>
  <c r="Q205" i="8"/>
  <c r="T205" i="8" s="1"/>
  <c r="S205" i="8"/>
  <c r="P205" i="8"/>
  <c r="L205" i="8"/>
  <c r="N205" i="8"/>
  <c r="K205" i="8"/>
  <c r="J205" i="8"/>
  <c r="I205" i="8"/>
  <c r="H205" i="8"/>
  <c r="G205" i="8"/>
  <c r="F205" i="8"/>
  <c r="E205" i="8"/>
  <c r="Z204" i="8"/>
  <c r="T204" i="8"/>
  <c r="R204" i="8"/>
  <c r="Q204" i="8"/>
  <c r="S204" i="8"/>
  <c r="P204" i="8"/>
  <c r="O204" i="8"/>
  <c r="H213" i="7" s="1"/>
  <c r="M204" i="8"/>
  <c r="L204" i="8"/>
  <c r="N204" i="8"/>
  <c r="G213" i="7" s="1"/>
  <c r="K204" i="8"/>
  <c r="E213" i="7" s="1"/>
  <c r="J204" i="8"/>
  <c r="I204" i="8"/>
  <c r="D213" i="7" s="1"/>
  <c r="H204" i="8"/>
  <c r="G204" i="8"/>
  <c r="F204" i="8"/>
  <c r="E204" i="8"/>
  <c r="Z203" i="8"/>
  <c r="T203" i="8"/>
  <c r="Q203" i="8"/>
  <c r="R203" i="8" s="1"/>
  <c r="S203" i="8"/>
  <c r="P203" i="8"/>
  <c r="O203" i="8"/>
  <c r="H221" i="7" s="1"/>
  <c r="L203" i="8"/>
  <c r="M203" i="8" s="1"/>
  <c r="F221" i="7" s="1"/>
  <c r="N203" i="8"/>
  <c r="G221" i="7" s="1"/>
  <c r="K203" i="8"/>
  <c r="E221" i="7" s="1"/>
  <c r="J203" i="8"/>
  <c r="I203" i="8"/>
  <c r="H203" i="8"/>
  <c r="G203" i="8"/>
  <c r="F203" i="8"/>
  <c r="E203" i="8"/>
  <c r="Z202" i="8"/>
  <c r="R202" i="8"/>
  <c r="Q202" i="8"/>
  <c r="T202" i="8" s="1"/>
  <c r="S202" i="8"/>
  <c r="P202" i="8"/>
  <c r="L202" i="8"/>
  <c r="O202" i="8" s="1"/>
  <c r="N202" i="8"/>
  <c r="K202" i="8"/>
  <c r="J202" i="8"/>
  <c r="I202" i="8"/>
  <c r="H202" i="8"/>
  <c r="G202" i="8"/>
  <c r="F202" i="8"/>
  <c r="E202" i="8"/>
  <c r="Z201" i="8"/>
  <c r="Q201" i="8"/>
  <c r="T201" i="8" s="1"/>
  <c r="S201" i="8"/>
  <c r="P201" i="8"/>
  <c r="O201" i="8"/>
  <c r="H177" i="7" s="1"/>
  <c r="M201" i="8"/>
  <c r="L201" i="8"/>
  <c r="N201" i="8"/>
  <c r="G177" i="7" s="1"/>
  <c r="K201" i="8"/>
  <c r="E177" i="7" s="1"/>
  <c r="J201" i="8"/>
  <c r="I201" i="8"/>
  <c r="D177" i="7" s="1"/>
  <c r="H201" i="8"/>
  <c r="G201" i="8"/>
  <c r="F201" i="8"/>
  <c r="E201" i="8"/>
  <c r="Z200" i="8"/>
  <c r="Q200" i="8"/>
  <c r="S200" i="8"/>
  <c r="P200" i="8"/>
  <c r="O200" i="8"/>
  <c r="H191" i="7" s="1"/>
  <c r="L200" i="8"/>
  <c r="M200" i="8" s="1"/>
  <c r="F191" i="7" s="1"/>
  <c r="N200" i="8"/>
  <c r="G191" i="7" s="1"/>
  <c r="K200" i="8"/>
  <c r="E191" i="7" s="1"/>
  <c r="J200" i="8"/>
  <c r="I200" i="8"/>
  <c r="D191" i="7" s="1"/>
  <c r="H200" i="8"/>
  <c r="G200" i="8"/>
  <c r="F200" i="8"/>
  <c r="E200" i="8"/>
  <c r="Z199" i="8"/>
  <c r="T199" i="8"/>
  <c r="R199" i="8"/>
  <c r="Q199" i="8"/>
  <c r="S199" i="8"/>
  <c r="P199" i="8"/>
  <c r="M199" i="8"/>
  <c r="F199" i="7" s="1"/>
  <c r="L199" i="8"/>
  <c r="O199" i="8" s="1"/>
  <c r="H199" i="7" s="1"/>
  <c r="N199" i="8"/>
  <c r="G199" i="7" s="1"/>
  <c r="K199" i="8"/>
  <c r="E199" i="7" s="1"/>
  <c r="J199" i="8"/>
  <c r="I199" i="8"/>
  <c r="D199" i="7" s="1"/>
  <c r="H199" i="8"/>
  <c r="G199" i="8"/>
  <c r="F199" i="8"/>
  <c r="E199" i="8"/>
  <c r="Z198" i="8"/>
  <c r="T198" i="8"/>
  <c r="Q198" i="8"/>
  <c r="R198" i="8" s="1"/>
  <c r="S198" i="8"/>
  <c r="P198" i="8"/>
  <c r="L198" i="8"/>
  <c r="O198" i="8" s="1"/>
  <c r="H215" i="7" s="1"/>
  <c r="N198" i="8"/>
  <c r="G215" i="7" s="1"/>
  <c r="K198" i="8"/>
  <c r="E215" i="7" s="1"/>
  <c r="J198" i="8"/>
  <c r="I198" i="8"/>
  <c r="D215" i="7" s="1"/>
  <c r="H198" i="8"/>
  <c r="G198" i="8"/>
  <c r="F198" i="8"/>
  <c r="E198" i="8"/>
  <c r="Z197" i="8"/>
  <c r="Q197" i="8"/>
  <c r="T197" i="8" s="1"/>
  <c r="S197" i="8"/>
  <c r="P197" i="8"/>
  <c r="L197" i="8"/>
  <c r="N197" i="8"/>
  <c r="K197" i="8"/>
  <c r="J197" i="8"/>
  <c r="I197" i="8"/>
  <c r="H197" i="8"/>
  <c r="G197" i="8"/>
  <c r="F197" i="8"/>
  <c r="E197" i="8"/>
  <c r="Z196" i="8"/>
  <c r="T196" i="8"/>
  <c r="R196" i="8"/>
  <c r="Q196" i="8"/>
  <c r="S196" i="8"/>
  <c r="P196" i="8"/>
  <c r="O196" i="8"/>
  <c r="M196" i="8"/>
  <c r="L196" i="8"/>
  <c r="N196" i="8"/>
  <c r="G174" i="7" s="1"/>
  <c r="K196" i="8"/>
  <c r="E174" i="7" s="1"/>
  <c r="J196" i="8"/>
  <c r="I196" i="8"/>
  <c r="D174" i="7" s="1"/>
  <c r="H196" i="8"/>
  <c r="G196" i="8"/>
  <c r="F196" i="8"/>
  <c r="E196" i="8"/>
  <c r="Z195" i="8"/>
  <c r="T195" i="8"/>
  <c r="Q195" i="8"/>
  <c r="R195" i="8" s="1"/>
  <c r="S195" i="8"/>
  <c r="P195" i="8"/>
  <c r="O195" i="8"/>
  <c r="L195" i="8"/>
  <c r="M195" i="8" s="1"/>
  <c r="N195" i="8"/>
  <c r="K195" i="8"/>
  <c r="J195" i="8"/>
  <c r="I195" i="8"/>
  <c r="H195" i="8"/>
  <c r="G195" i="8"/>
  <c r="F195" i="8"/>
  <c r="E195" i="8"/>
  <c r="Z194" i="8"/>
  <c r="R194" i="8"/>
  <c r="Q194" i="8"/>
  <c r="T194" i="8" s="1"/>
  <c r="S194" i="8"/>
  <c r="P194" i="8"/>
  <c r="L194" i="8"/>
  <c r="O194" i="8" s="1"/>
  <c r="N194" i="8"/>
  <c r="G183" i="7" s="1"/>
  <c r="K194" i="8"/>
  <c r="E183" i="7" s="1"/>
  <c r="J194" i="8"/>
  <c r="I194" i="8"/>
  <c r="D183" i="7" s="1"/>
  <c r="H194" i="8"/>
  <c r="G194" i="8"/>
  <c r="F194" i="8"/>
  <c r="E194" i="8"/>
  <c r="Z193" i="8"/>
  <c r="Q193" i="8"/>
  <c r="T193" i="8" s="1"/>
  <c r="S193" i="8"/>
  <c r="P193" i="8"/>
  <c r="O193" i="8"/>
  <c r="H185" i="7" s="1"/>
  <c r="M193" i="8"/>
  <c r="F185" i="7" s="1"/>
  <c r="L193" i="8"/>
  <c r="N193" i="8"/>
  <c r="G185" i="7" s="1"/>
  <c r="K193" i="8"/>
  <c r="E185" i="7" s="1"/>
  <c r="J193" i="8"/>
  <c r="I193" i="8"/>
  <c r="D185" i="7" s="1"/>
  <c r="H193" i="8"/>
  <c r="G193" i="8"/>
  <c r="F193" i="8"/>
  <c r="E193" i="8"/>
  <c r="Z192" i="8"/>
  <c r="Q192" i="8"/>
  <c r="S192" i="8"/>
  <c r="P192" i="8"/>
  <c r="O192" i="8"/>
  <c r="H193" i="7" s="1"/>
  <c r="L192" i="8"/>
  <c r="M192" i="8" s="1"/>
  <c r="F193" i="7" s="1"/>
  <c r="N192" i="8"/>
  <c r="G193" i="7" s="1"/>
  <c r="K192" i="8"/>
  <c r="E193" i="7" s="1"/>
  <c r="J192" i="8"/>
  <c r="I192" i="8"/>
  <c r="D193" i="7" s="1"/>
  <c r="H192" i="8"/>
  <c r="G192" i="8"/>
  <c r="F192" i="8"/>
  <c r="E192" i="8"/>
  <c r="Z191" i="8"/>
  <c r="T191" i="8"/>
  <c r="R191" i="8"/>
  <c r="Q191" i="8"/>
  <c r="S191" i="8"/>
  <c r="P191" i="8"/>
  <c r="M191" i="8"/>
  <c r="F197" i="7" s="1"/>
  <c r="L191" i="8"/>
  <c r="O191" i="8" s="1"/>
  <c r="H197" i="7" s="1"/>
  <c r="N191" i="8"/>
  <c r="G197" i="7" s="1"/>
  <c r="K191" i="8"/>
  <c r="E197" i="7" s="1"/>
  <c r="J191" i="8"/>
  <c r="I191" i="8"/>
  <c r="D197" i="7" s="1"/>
  <c r="H191" i="8"/>
  <c r="G191" i="8"/>
  <c r="F191" i="8"/>
  <c r="E191" i="8"/>
  <c r="Z190" i="8"/>
  <c r="T190" i="8"/>
  <c r="Q190" i="8"/>
  <c r="R190" i="8" s="1"/>
  <c r="S190" i="8"/>
  <c r="P190" i="8"/>
  <c r="L190" i="8"/>
  <c r="O190" i="8" s="1"/>
  <c r="N190" i="8"/>
  <c r="K190" i="8"/>
  <c r="J190" i="8"/>
  <c r="I190" i="8"/>
  <c r="H190" i="8"/>
  <c r="G190" i="8"/>
  <c r="F190" i="8"/>
  <c r="E190" i="8"/>
  <c r="Z189" i="8"/>
  <c r="Q189" i="8"/>
  <c r="T189" i="8" s="1"/>
  <c r="S189" i="8"/>
  <c r="P189" i="8"/>
  <c r="L189" i="8"/>
  <c r="N189" i="8"/>
  <c r="G205" i="7" s="1"/>
  <c r="K189" i="8"/>
  <c r="E205" i="7" s="1"/>
  <c r="J189" i="8"/>
  <c r="I189" i="8"/>
  <c r="D205" i="7" s="1"/>
  <c r="H189" i="8"/>
  <c r="G189" i="8"/>
  <c r="F189" i="8"/>
  <c r="E189" i="8"/>
  <c r="Z188" i="8"/>
  <c r="T188" i="8"/>
  <c r="R188" i="8"/>
  <c r="Q188" i="8"/>
  <c r="S188" i="8"/>
  <c r="P188" i="8"/>
  <c r="O188" i="8"/>
  <c r="H206" i="7" s="1"/>
  <c r="M188" i="8"/>
  <c r="F206" i="7" s="1"/>
  <c r="L188" i="8"/>
  <c r="N188" i="8"/>
  <c r="G206" i="7" s="1"/>
  <c r="K188" i="8"/>
  <c r="E206" i="7" s="1"/>
  <c r="J188" i="8"/>
  <c r="I188" i="8"/>
  <c r="D206" i="7" s="1"/>
  <c r="H188" i="8"/>
  <c r="G188" i="8"/>
  <c r="F188" i="8"/>
  <c r="E188" i="8"/>
  <c r="Z187" i="8"/>
  <c r="T187" i="8"/>
  <c r="Q187" i="8"/>
  <c r="R187" i="8" s="1"/>
  <c r="S187" i="8"/>
  <c r="P187" i="8"/>
  <c r="O187" i="8"/>
  <c r="L187" i="8"/>
  <c r="M187" i="8" s="1"/>
  <c r="N187" i="8"/>
  <c r="K187" i="8"/>
  <c r="J187" i="8"/>
  <c r="I187" i="8"/>
  <c r="H187" i="8"/>
  <c r="G187" i="8"/>
  <c r="F187" i="8"/>
  <c r="E187" i="8"/>
  <c r="Z186" i="8"/>
  <c r="R186" i="8"/>
  <c r="Q186" i="8"/>
  <c r="T186" i="8" s="1"/>
  <c r="S186" i="8"/>
  <c r="P186" i="8"/>
  <c r="L186" i="8"/>
  <c r="O186" i="8" s="1"/>
  <c r="H214" i="7" s="1"/>
  <c r="N186" i="8"/>
  <c r="G214" i="7" s="1"/>
  <c r="K186" i="8"/>
  <c r="E214" i="7" s="1"/>
  <c r="J186" i="8"/>
  <c r="I186" i="8"/>
  <c r="D214" i="7" s="1"/>
  <c r="H186" i="8"/>
  <c r="G186" i="8"/>
  <c r="F186" i="8"/>
  <c r="E186" i="8"/>
  <c r="Z185" i="8"/>
  <c r="Q185" i="8"/>
  <c r="S185" i="8"/>
  <c r="P185" i="8"/>
  <c r="O185" i="8"/>
  <c r="H225" i="7" s="1"/>
  <c r="M185" i="8"/>
  <c r="F225" i="7" s="1"/>
  <c r="L185" i="8"/>
  <c r="N185" i="8"/>
  <c r="G225" i="7" s="1"/>
  <c r="K185" i="8"/>
  <c r="E225" i="7" s="1"/>
  <c r="J185" i="8"/>
  <c r="I185" i="8"/>
  <c r="D225" i="7" s="1"/>
  <c r="H185" i="8"/>
  <c r="G185" i="8"/>
  <c r="F185" i="8"/>
  <c r="E185" i="8"/>
  <c r="Z184" i="8"/>
  <c r="R184" i="8"/>
  <c r="Q184" i="8"/>
  <c r="T184" i="8" s="1"/>
  <c r="S184" i="8"/>
  <c r="P184" i="8"/>
  <c r="O184" i="8"/>
  <c r="H231" i="7" s="1"/>
  <c r="L184" i="8"/>
  <c r="M184" i="8" s="1"/>
  <c r="F231" i="7" s="1"/>
  <c r="N184" i="8"/>
  <c r="G231" i="7" s="1"/>
  <c r="K184" i="8"/>
  <c r="E231" i="7" s="1"/>
  <c r="J184" i="8"/>
  <c r="I184" i="8"/>
  <c r="D231" i="7" s="1"/>
  <c r="H184" i="8"/>
  <c r="G184" i="8"/>
  <c r="F184" i="8"/>
  <c r="E184" i="8"/>
  <c r="Z183" i="8"/>
  <c r="T183" i="8"/>
  <c r="R183" i="8"/>
  <c r="Q183" i="8"/>
  <c r="S183" i="8"/>
  <c r="P183" i="8"/>
  <c r="M183" i="8"/>
  <c r="F232" i="7" s="1"/>
  <c r="L183" i="8"/>
  <c r="O183" i="8" s="1"/>
  <c r="H232" i="7" s="1"/>
  <c r="N183" i="8"/>
  <c r="G232" i="7" s="1"/>
  <c r="K183" i="8"/>
  <c r="E232" i="7" s="1"/>
  <c r="J183" i="8"/>
  <c r="I183" i="8"/>
  <c r="D232" i="7" s="1"/>
  <c r="H183" i="8"/>
  <c r="G183" i="8"/>
  <c r="F183" i="8"/>
  <c r="E183" i="8"/>
  <c r="Z182" i="8"/>
  <c r="T182" i="8"/>
  <c r="Q182" i="8"/>
  <c r="R182" i="8" s="1"/>
  <c r="S182" i="8"/>
  <c r="P182" i="8"/>
  <c r="L182" i="8"/>
  <c r="N182" i="8"/>
  <c r="K182" i="8"/>
  <c r="J182" i="8"/>
  <c r="I182" i="8"/>
  <c r="H182" i="8"/>
  <c r="G182" i="8"/>
  <c r="F182" i="8"/>
  <c r="E182" i="8"/>
  <c r="Z181" i="8"/>
  <c r="Q181" i="8"/>
  <c r="T181" i="8" s="1"/>
  <c r="S181" i="8"/>
  <c r="P181" i="8"/>
  <c r="M181" i="8"/>
  <c r="F234" i="7" s="1"/>
  <c r="L181" i="8"/>
  <c r="O181" i="8" s="1"/>
  <c r="H234" i="7" s="1"/>
  <c r="N181" i="8"/>
  <c r="G234" i="7" s="1"/>
  <c r="K181" i="8"/>
  <c r="E234" i="7" s="1"/>
  <c r="J181" i="8"/>
  <c r="I181" i="8"/>
  <c r="D234" i="7" s="1"/>
  <c r="H181" i="8"/>
  <c r="G181" i="8"/>
  <c r="F181" i="8"/>
  <c r="E181" i="8"/>
  <c r="Z180" i="8"/>
  <c r="T180" i="8"/>
  <c r="R180" i="8"/>
  <c r="Q180" i="8"/>
  <c r="S180" i="8"/>
  <c r="P180" i="8"/>
  <c r="O180" i="8"/>
  <c r="M180" i="8"/>
  <c r="L180" i="8"/>
  <c r="N180" i="8"/>
  <c r="K180" i="8"/>
  <c r="J180" i="8"/>
  <c r="I180" i="8"/>
  <c r="H180" i="8"/>
  <c r="G180" i="8"/>
  <c r="F180" i="8"/>
  <c r="E180" i="8"/>
  <c r="Z179" i="8"/>
  <c r="S179" i="8"/>
  <c r="P179" i="8"/>
  <c r="O179" i="8"/>
  <c r="N179" i="8"/>
  <c r="G233" i="7" s="1"/>
  <c r="K179" i="8"/>
  <c r="E233" i="7" s="1"/>
  <c r="I179" i="8"/>
  <c r="D233" i="7" s="1"/>
  <c r="H179" i="8"/>
  <c r="G179" i="8"/>
  <c r="F179" i="8"/>
  <c r="E179" i="8"/>
  <c r="D179" i="8"/>
  <c r="A179" i="8"/>
  <c r="Z178" i="8"/>
  <c r="T178" i="8"/>
  <c r="Q178" i="8"/>
  <c r="R178" i="8" s="1"/>
  <c r="S178" i="8"/>
  <c r="P178" i="8"/>
  <c r="O178" i="8"/>
  <c r="H173" i="7" s="1"/>
  <c r="L178" i="8"/>
  <c r="M178" i="8" s="1"/>
  <c r="F173" i="7" s="1"/>
  <c r="N178" i="8"/>
  <c r="G173" i="7" s="1"/>
  <c r="K178" i="8"/>
  <c r="E173" i="7" s="1"/>
  <c r="J178" i="8"/>
  <c r="I178" i="8"/>
  <c r="D173" i="7" s="1"/>
  <c r="H178" i="8"/>
  <c r="G178" i="8"/>
  <c r="F178" i="8"/>
  <c r="E178" i="8"/>
  <c r="Z177" i="8"/>
  <c r="R177" i="8"/>
  <c r="Q177" i="8"/>
  <c r="T177" i="8" s="1"/>
  <c r="S177" i="8"/>
  <c r="P177" i="8"/>
  <c r="L177" i="8"/>
  <c r="O177" i="8" s="1"/>
  <c r="N177" i="8"/>
  <c r="G181" i="7" s="1"/>
  <c r="K177" i="8"/>
  <c r="E181" i="7" s="1"/>
  <c r="J177" i="8"/>
  <c r="I177" i="8"/>
  <c r="D181" i="7" s="1"/>
  <c r="H177" i="8"/>
  <c r="G177" i="8"/>
  <c r="F177" i="8"/>
  <c r="E177" i="8"/>
  <c r="Z176" i="8"/>
  <c r="Q176" i="8"/>
  <c r="S176" i="8"/>
  <c r="P176" i="8"/>
  <c r="O176" i="8"/>
  <c r="H194" i="7" s="1"/>
  <c r="M176" i="8"/>
  <c r="F194" i="7" s="1"/>
  <c r="L176" i="8"/>
  <c r="N176" i="8"/>
  <c r="G194" i="7" s="1"/>
  <c r="K176" i="8"/>
  <c r="E194" i="7" s="1"/>
  <c r="J176" i="8"/>
  <c r="I176" i="8"/>
  <c r="D194" i="7" s="1"/>
  <c r="H176" i="8"/>
  <c r="G176" i="8"/>
  <c r="F176" i="8"/>
  <c r="E176" i="8"/>
  <c r="Z175" i="8"/>
  <c r="Q175" i="8"/>
  <c r="T175" i="8" s="1"/>
  <c r="S175" i="8"/>
  <c r="P175" i="8"/>
  <c r="O175" i="8"/>
  <c r="L175" i="8"/>
  <c r="M175" i="8" s="1"/>
  <c r="N175" i="8"/>
  <c r="G200" i="7" s="1"/>
  <c r="K175" i="8"/>
  <c r="E200" i="7" s="1"/>
  <c r="J175" i="8"/>
  <c r="I175" i="8"/>
  <c r="H175" i="8"/>
  <c r="G175" i="8"/>
  <c r="F175" i="8"/>
  <c r="E175" i="8"/>
  <c r="Z174" i="8"/>
  <c r="T174" i="8"/>
  <c r="R174" i="8"/>
  <c r="Q174" i="8"/>
  <c r="S174" i="8"/>
  <c r="P174" i="8"/>
  <c r="M174" i="8"/>
  <c r="L174" i="8"/>
  <c r="O174" i="8" s="1"/>
  <c r="H210" i="7" s="1"/>
  <c r="N174" i="8"/>
  <c r="G210" i="7" s="1"/>
  <c r="K174" i="8"/>
  <c r="E210" i="7" s="1"/>
  <c r="J174" i="8"/>
  <c r="I174" i="8"/>
  <c r="D210" i="7" s="1"/>
  <c r="H174" i="8"/>
  <c r="G174" i="8"/>
  <c r="F174" i="8"/>
  <c r="E174" i="8"/>
  <c r="Z173" i="8"/>
  <c r="T173" i="8"/>
  <c r="Q173" i="8"/>
  <c r="R173" i="8" s="1"/>
  <c r="S173" i="8"/>
  <c r="P173" i="8"/>
  <c r="L173" i="8"/>
  <c r="N173" i="8"/>
  <c r="G235" i="7" s="1"/>
  <c r="K173" i="8"/>
  <c r="E235" i="7" s="1"/>
  <c r="J173" i="8"/>
  <c r="I173" i="8"/>
  <c r="D235" i="7" s="1"/>
  <c r="H173" i="8"/>
  <c r="G173" i="8"/>
  <c r="F173" i="8"/>
  <c r="E173" i="8"/>
  <c r="G172" i="8"/>
  <c r="A172" i="8"/>
  <c r="Z171" i="8"/>
  <c r="S171" i="8"/>
  <c r="P171" i="8"/>
  <c r="O171" i="8"/>
  <c r="H165" i="7" s="1"/>
  <c r="N171" i="8"/>
  <c r="G165" i="7" s="1"/>
  <c r="K171" i="8"/>
  <c r="E165" i="7" s="1"/>
  <c r="I171" i="8"/>
  <c r="D165" i="7" s="1"/>
  <c r="H171" i="8"/>
  <c r="G171" i="8"/>
  <c r="F171" i="8"/>
  <c r="E171" i="8"/>
  <c r="D171" i="8"/>
  <c r="A171" i="8"/>
  <c r="Z170" i="8"/>
  <c r="S170" i="8"/>
  <c r="P170" i="8"/>
  <c r="O170" i="8"/>
  <c r="H156" i="7" s="1"/>
  <c r="N170" i="8"/>
  <c r="G156" i="7" s="1"/>
  <c r="K170" i="8"/>
  <c r="E156" i="7" s="1"/>
  <c r="I170" i="8"/>
  <c r="D156" i="7" s="1"/>
  <c r="H170" i="8"/>
  <c r="G170" i="8"/>
  <c r="F170" i="8"/>
  <c r="E170" i="8"/>
  <c r="D170" i="8"/>
  <c r="A170" i="8"/>
  <c r="Z169" i="8"/>
  <c r="S169" i="8"/>
  <c r="P169" i="8"/>
  <c r="O169" i="8"/>
  <c r="H159" i="7" s="1"/>
  <c r="N169" i="8"/>
  <c r="G159" i="7" s="1"/>
  <c r="K169" i="8"/>
  <c r="E159" i="7" s="1"/>
  <c r="I169" i="8"/>
  <c r="D159" i="7" s="1"/>
  <c r="H169" i="8"/>
  <c r="G169" i="8"/>
  <c r="F169" i="8"/>
  <c r="E169" i="8"/>
  <c r="D169" i="8"/>
  <c r="A169" i="8"/>
  <c r="Z168" i="8"/>
  <c r="T168" i="8"/>
  <c r="Q168" i="8"/>
  <c r="R168" i="8" s="1"/>
  <c r="S168" i="8"/>
  <c r="P168" i="8"/>
  <c r="O168" i="8"/>
  <c r="H122" i="7" s="1"/>
  <c r="L168" i="8"/>
  <c r="M168" i="8" s="1"/>
  <c r="F122" i="7" s="1"/>
  <c r="N168" i="8"/>
  <c r="G122" i="7" s="1"/>
  <c r="K168" i="8"/>
  <c r="E122" i="7" s="1"/>
  <c r="J168" i="8"/>
  <c r="I168" i="8"/>
  <c r="D122" i="7" s="1"/>
  <c r="H168" i="8"/>
  <c r="G168" i="8"/>
  <c r="F168" i="8"/>
  <c r="E168" i="8"/>
  <c r="Z167" i="8"/>
  <c r="R167" i="8"/>
  <c r="Q167" i="8"/>
  <c r="T167" i="8" s="1"/>
  <c r="S167" i="8"/>
  <c r="P167" i="8"/>
  <c r="L167" i="8"/>
  <c r="N167" i="8"/>
  <c r="K167" i="8"/>
  <c r="J167" i="8"/>
  <c r="I167" i="8"/>
  <c r="H167" i="8"/>
  <c r="G167" i="8"/>
  <c r="F167" i="8"/>
  <c r="E167" i="8"/>
  <c r="Z166" i="8"/>
  <c r="Q166" i="8"/>
  <c r="S166" i="8"/>
  <c r="P166" i="8"/>
  <c r="O166" i="8"/>
  <c r="M166" i="8"/>
  <c r="L166" i="8"/>
  <c r="N166" i="8"/>
  <c r="K166" i="8"/>
  <c r="J166" i="8"/>
  <c r="I166" i="8"/>
  <c r="H166" i="8"/>
  <c r="G166" i="8"/>
  <c r="F166" i="8"/>
  <c r="E166" i="8"/>
  <c r="Z165" i="8"/>
  <c r="Q165" i="8"/>
  <c r="T165" i="8" s="1"/>
  <c r="S165" i="8"/>
  <c r="P165" i="8"/>
  <c r="O165" i="8"/>
  <c r="H128" i="7" s="1"/>
  <c r="L165" i="8"/>
  <c r="M165" i="8" s="1"/>
  <c r="F128" i="7" s="1"/>
  <c r="N165" i="8"/>
  <c r="G128" i="7" s="1"/>
  <c r="K165" i="8"/>
  <c r="E128" i="7" s="1"/>
  <c r="J165" i="8"/>
  <c r="I165" i="8"/>
  <c r="D128" i="7" s="1"/>
  <c r="H165" i="8"/>
  <c r="G165" i="8"/>
  <c r="F165" i="8"/>
  <c r="E165" i="8"/>
  <c r="Z164" i="8"/>
  <c r="T164" i="8"/>
  <c r="R164" i="8"/>
  <c r="Q164" i="8"/>
  <c r="S164" i="8"/>
  <c r="P164" i="8"/>
  <c r="M164" i="8"/>
  <c r="F130" i="7" s="1"/>
  <c r="L164" i="8"/>
  <c r="O164" i="8" s="1"/>
  <c r="H130" i="7" s="1"/>
  <c r="N164" i="8"/>
  <c r="G130" i="7" s="1"/>
  <c r="K164" i="8"/>
  <c r="E130" i="7" s="1"/>
  <c r="J164" i="8"/>
  <c r="I164" i="8"/>
  <c r="D130" i="7" s="1"/>
  <c r="H164" i="8"/>
  <c r="G164" i="8"/>
  <c r="F164" i="8"/>
  <c r="E164" i="8"/>
  <c r="Z163" i="8"/>
  <c r="T163" i="8"/>
  <c r="Q163" i="8"/>
  <c r="R163" i="8" s="1"/>
  <c r="S163" i="8"/>
  <c r="P163" i="8"/>
  <c r="L163" i="8"/>
  <c r="N163" i="8"/>
  <c r="G131" i="7" s="1"/>
  <c r="K163" i="8"/>
  <c r="E131" i="7" s="1"/>
  <c r="J163" i="8"/>
  <c r="I163" i="8"/>
  <c r="D131" i="7" s="1"/>
  <c r="H163" i="8"/>
  <c r="G163" i="8"/>
  <c r="F163" i="8"/>
  <c r="E163" i="8"/>
  <c r="Z162" i="8"/>
  <c r="Q162" i="8"/>
  <c r="S162" i="8"/>
  <c r="P162" i="8"/>
  <c r="L162" i="8"/>
  <c r="O162" i="8" s="1"/>
  <c r="H133" i="7" s="1"/>
  <c r="N162" i="8"/>
  <c r="G133" i="7" s="1"/>
  <c r="K162" i="8"/>
  <c r="E133" i="7" s="1"/>
  <c r="J162" i="8"/>
  <c r="I162" i="8"/>
  <c r="D133" i="7" s="1"/>
  <c r="H162" i="8"/>
  <c r="G162" i="8"/>
  <c r="F162" i="8"/>
  <c r="E162" i="8"/>
  <c r="Z161" i="8"/>
  <c r="T161" i="8"/>
  <c r="R161" i="8"/>
  <c r="Q161" i="8"/>
  <c r="S161" i="8"/>
  <c r="P161" i="8"/>
  <c r="O161" i="8"/>
  <c r="M161" i="8"/>
  <c r="L161" i="8"/>
  <c r="N161" i="8"/>
  <c r="K161" i="8"/>
  <c r="J161" i="8"/>
  <c r="I161" i="8"/>
  <c r="H161" i="8"/>
  <c r="G161" i="8"/>
  <c r="F161" i="8"/>
  <c r="E161" i="8"/>
  <c r="Z160" i="8"/>
  <c r="T160" i="8"/>
  <c r="Q160" i="8"/>
  <c r="R160" i="8" s="1"/>
  <c r="S160" i="8"/>
  <c r="P160" i="8"/>
  <c r="O160" i="8"/>
  <c r="L160" i="8"/>
  <c r="M160" i="8" s="1"/>
  <c r="N160" i="8"/>
  <c r="K160" i="8"/>
  <c r="J160" i="8"/>
  <c r="I160" i="8"/>
  <c r="H160" i="8"/>
  <c r="G160" i="8"/>
  <c r="F160" i="8"/>
  <c r="E160" i="8"/>
  <c r="Z159" i="8"/>
  <c r="R159" i="8"/>
  <c r="Q159" i="8"/>
  <c r="T159" i="8" s="1"/>
  <c r="S159" i="8"/>
  <c r="P159" i="8"/>
  <c r="L159" i="8"/>
  <c r="N159" i="8"/>
  <c r="G137" i="7" s="1"/>
  <c r="K159" i="8"/>
  <c r="E137" i="7" s="1"/>
  <c r="J159" i="8"/>
  <c r="I159" i="8"/>
  <c r="D137" i="7" s="1"/>
  <c r="H159" i="8"/>
  <c r="G159" i="8"/>
  <c r="F159" i="8"/>
  <c r="E159" i="8"/>
  <c r="Z158" i="8"/>
  <c r="Q158" i="8"/>
  <c r="S158" i="8"/>
  <c r="P158" i="8"/>
  <c r="O158" i="8"/>
  <c r="H142" i="7" s="1"/>
  <c r="M158" i="8"/>
  <c r="F142" i="7" s="1"/>
  <c r="L158" i="8"/>
  <c r="N158" i="8"/>
  <c r="G142" i="7" s="1"/>
  <c r="K158" i="8"/>
  <c r="E142" i="7" s="1"/>
  <c r="J158" i="8"/>
  <c r="I158" i="8"/>
  <c r="D142" i="7" s="1"/>
  <c r="H158" i="8"/>
  <c r="G158" i="8"/>
  <c r="F158" i="8"/>
  <c r="E158" i="8"/>
  <c r="Z157" i="8"/>
  <c r="Q157" i="8"/>
  <c r="T157" i="8" s="1"/>
  <c r="S157" i="8"/>
  <c r="P157" i="8"/>
  <c r="O157" i="8"/>
  <c r="L157" i="8"/>
  <c r="M157" i="8" s="1"/>
  <c r="N157" i="8"/>
  <c r="K157" i="8"/>
  <c r="J157" i="8"/>
  <c r="I157" i="8"/>
  <c r="H157" i="8"/>
  <c r="G157" i="8"/>
  <c r="F157" i="8"/>
  <c r="E157" i="8"/>
  <c r="Z156" i="8"/>
  <c r="T156" i="8"/>
  <c r="R156" i="8"/>
  <c r="Q156" i="8"/>
  <c r="S156" i="8"/>
  <c r="P156" i="8"/>
  <c r="M156" i="8"/>
  <c r="L156" i="8"/>
  <c r="O156" i="8" s="1"/>
  <c r="N156" i="8"/>
  <c r="K156" i="8"/>
  <c r="J156" i="8"/>
  <c r="I156" i="8"/>
  <c r="H156" i="8"/>
  <c r="G156" i="8"/>
  <c r="F156" i="8"/>
  <c r="E156" i="8"/>
  <c r="Z155" i="8"/>
  <c r="T155" i="8"/>
  <c r="Q155" i="8"/>
  <c r="R155" i="8" s="1"/>
  <c r="S155" i="8"/>
  <c r="P155" i="8"/>
  <c r="L155" i="8"/>
  <c r="N155" i="8"/>
  <c r="K155" i="8"/>
  <c r="J155" i="8"/>
  <c r="I155" i="8"/>
  <c r="H155" i="8"/>
  <c r="G155" i="8"/>
  <c r="F155" i="8"/>
  <c r="E155" i="8"/>
  <c r="Z154" i="8"/>
  <c r="Q154" i="8"/>
  <c r="S154" i="8"/>
  <c r="P154" i="8"/>
  <c r="L154" i="8"/>
  <c r="O154" i="8" s="1"/>
  <c r="N154" i="8"/>
  <c r="K154" i="8"/>
  <c r="J154" i="8"/>
  <c r="I154" i="8"/>
  <c r="H154" i="8"/>
  <c r="G154" i="8"/>
  <c r="F154" i="8"/>
  <c r="E154" i="8"/>
  <c r="Z153" i="8"/>
  <c r="T153" i="8"/>
  <c r="R153" i="8"/>
  <c r="Q153" i="8"/>
  <c r="S153" i="8"/>
  <c r="P153" i="8"/>
  <c r="O153" i="8"/>
  <c r="M153" i="8"/>
  <c r="L153" i="8"/>
  <c r="N153" i="8"/>
  <c r="K153" i="8"/>
  <c r="J153" i="8"/>
  <c r="I153" i="8"/>
  <c r="H153" i="8"/>
  <c r="G153" i="8"/>
  <c r="F153" i="8"/>
  <c r="E153" i="8"/>
  <c r="Z152" i="8"/>
  <c r="T152" i="8"/>
  <c r="Q152" i="8"/>
  <c r="R152" i="8" s="1"/>
  <c r="S152" i="8"/>
  <c r="P152" i="8"/>
  <c r="O152" i="8"/>
  <c r="L152" i="8"/>
  <c r="M152" i="8" s="1"/>
  <c r="N152" i="8"/>
  <c r="K152" i="8"/>
  <c r="J152" i="8"/>
  <c r="I152" i="8"/>
  <c r="H152" i="8"/>
  <c r="G152" i="8"/>
  <c r="F152" i="8"/>
  <c r="E152" i="8"/>
  <c r="Z151" i="8"/>
  <c r="R151" i="8"/>
  <c r="Q151" i="8"/>
  <c r="T151" i="8" s="1"/>
  <c r="S151" i="8"/>
  <c r="P151" i="8"/>
  <c r="L151" i="8"/>
  <c r="N151" i="8"/>
  <c r="K151" i="8"/>
  <c r="J151" i="8"/>
  <c r="I151" i="8"/>
  <c r="H151" i="8"/>
  <c r="G151" i="8"/>
  <c r="F151" i="8"/>
  <c r="E151" i="8"/>
  <c r="Z150" i="8"/>
  <c r="Q150" i="8"/>
  <c r="S150" i="8"/>
  <c r="P150" i="8"/>
  <c r="O150" i="8"/>
  <c r="M150" i="8"/>
  <c r="L150" i="8"/>
  <c r="N150" i="8"/>
  <c r="K150" i="8"/>
  <c r="J150" i="8"/>
  <c r="I150" i="8"/>
  <c r="H150" i="8"/>
  <c r="G150" i="8"/>
  <c r="F150" i="8"/>
  <c r="E150" i="8"/>
  <c r="Z149" i="8"/>
  <c r="Q149" i="8"/>
  <c r="T149" i="8" s="1"/>
  <c r="S149" i="8"/>
  <c r="P149" i="8"/>
  <c r="O149" i="8"/>
  <c r="L149" i="8"/>
  <c r="M149" i="8" s="1"/>
  <c r="N149" i="8"/>
  <c r="K149" i="8"/>
  <c r="J149" i="8"/>
  <c r="I149" i="8"/>
  <c r="H149" i="8"/>
  <c r="G149" i="8"/>
  <c r="F149" i="8"/>
  <c r="E149" i="8"/>
  <c r="Z148" i="8"/>
  <c r="T148" i="8"/>
  <c r="R148" i="8"/>
  <c r="Q148" i="8"/>
  <c r="S148" i="8"/>
  <c r="P148" i="8"/>
  <c r="M148" i="8"/>
  <c r="L148" i="8"/>
  <c r="O148" i="8" s="1"/>
  <c r="N148" i="8"/>
  <c r="K148" i="8"/>
  <c r="J148" i="8"/>
  <c r="I148" i="8"/>
  <c r="H148" i="8"/>
  <c r="G148" i="8"/>
  <c r="F148" i="8"/>
  <c r="E148" i="8"/>
  <c r="Z147" i="8"/>
  <c r="T147" i="8"/>
  <c r="Q147" i="8"/>
  <c r="R147" i="8" s="1"/>
  <c r="S147" i="8"/>
  <c r="P147" i="8"/>
  <c r="L147" i="8"/>
  <c r="N147" i="8"/>
  <c r="K147" i="8"/>
  <c r="J147" i="8"/>
  <c r="I147" i="8"/>
  <c r="H147" i="8"/>
  <c r="G147" i="8"/>
  <c r="F147" i="8"/>
  <c r="E147" i="8"/>
  <c r="Z146" i="8"/>
  <c r="Q146" i="8"/>
  <c r="S146" i="8"/>
  <c r="P146" i="8"/>
  <c r="L146" i="8"/>
  <c r="O146" i="8" s="1"/>
  <c r="N146" i="8"/>
  <c r="K146" i="8"/>
  <c r="J146" i="8"/>
  <c r="I146" i="8"/>
  <c r="H146" i="8"/>
  <c r="G146" i="8"/>
  <c r="F146" i="8"/>
  <c r="E146" i="8"/>
  <c r="Z145" i="8"/>
  <c r="T145" i="8"/>
  <c r="R145" i="8"/>
  <c r="Q145" i="8"/>
  <c r="S145" i="8"/>
  <c r="P145" i="8"/>
  <c r="O145" i="8"/>
  <c r="M145" i="8"/>
  <c r="L145" i="8"/>
  <c r="N145" i="8"/>
  <c r="K145" i="8"/>
  <c r="J145" i="8"/>
  <c r="I145" i="8"/>
  <c r="H145" i="8"/>
  <c r="G145" i="8"/>
  <c r="F145" i="8"/>
  <c r="E145" i="8"/>
  <c r="Z144" i="8"/>
  <c r="T144" i="8"/>
  <c r="Q144" i="8"/>
  <c r="R144" i="8" s="1"/>
  <c r="S144" i="8"/>
  <c r="P144" i="8"/>
  <c r="O144" i="8"/>
  <c r="L144" i="8"/>
  <c r="M144" i="8" s="1"/>
  <c r="N144" i="8"/>
  <c r="K144" i="8"/>
  <c r="J144" i="8"/>
  <c r="I144" i="8"/>
  <c r="H144" i="8"/>
  <c r="G144" i="8"/>
  <c r="F144" i="8"/>
  <c r="E144" i="8"/>
  <c r="Z143" i="8"/>
  <c r="S143" i="8"/>
  <c r="T143" i="8" s="1"/>
  <c r="P143" i="8"/>
  <c r="R143" i="8" s="1"/>
  <c r="O143" i="8"/>
  <c r="H161" i="7" s="1"/>
  <c r="N143" i="8"/>
  <c r="G161" i="7" s="1"/>
  <c r="K143" i="8"/>
  <c r="I143" i="8"/>
  <c r="D161" i="7" s="1"/>
  <c r="H143" i="8"/>
  <c r="G143" i="8"/>
  <c r="F143" i="8"/>
  <c r="E143" i="8"/>
  <c r="D143" i="8"/>
  <c r="A143" i="8"/>
  <c r="Z142" i="8"/>
  <c r="R142" i="8"/>
  <c r="Q142" i="8"/>
  <c r="T142" i="8" s="1"/>
  <c r="S142" i="8"/>
  <c r="P142" i="8"/>
  <c r="L142" i="8"/>
  <c r="N142" i="8"/>
  <c r="G121" i="7" s="1"/>
  <c r="K142" i="8"/>
  <c r="E121" i="7" s="1"/>
  <c r="J142" i="8"/>
  <c r="I142" i="8"/>
  <c r="D121" i="7" s="1"/>
  <c r="H142" i="8"/>
  <c r="G142" i="8"/>
  <c r="F142" i="8"/>
  <c r="E142" i="8"/>
  <c r="Z141" i="8"/>
  <c r="Q141" i="8"/>
  <c r="S141" i="8"/>
  <c r="P141" i="8"/>
  <c r="O141" i="8"/>
  <c r="M141" i="8"/>
  <c r="L141" i="8"/>
  <c r="N141" i="8"/>
  <c r="G126" i="7" s="1"/>
  <c r="K141" i="8"/>
  <c r="E126" i="7" s="1"/>
  <c r="J141" i="8"/>
  <c r="I141" i="8"/>
  <c r="H141" i="8"/>
  <c r="G141" i="8"/>
  <c r="F141" i="8"/>
  <c r="E141" i="8"/>
  <c r="Z140" i="8"/>
  <c r="R140" i="8"/>
  <c r="Q140" i="8"/>
  <c r="T140" i="8" s="1"/>
  <c r="S140" i="8"/>
  <c r="P140" i="8"/>
  <c r="O140" i="8"/>
  <c r="H127" i="7" s="1"/>
  <c r="L140" i="8"/>
  <c r="M140" i="8" s="1"/>
  <c r="F127" i="7" s="1"/>
  <c r="N140" i="8"/>
  <c r="G127" i="7" s="1"/>
  <c r="K140" i="8"/>
  <c r="E127" i="7" s="1"/>
  <c r="J140" i="8"/>
  <c r="I140" i="8"/>
  <c r="H140" i="8"/>
  <c r="G140" i="8"/>
  <c r="F140" i="8"/>
  <c r="E140" i="8"/>
  <c r="Z139" i="8"/>
  <c r="T139" i="8"/>
  <c r="R139" i="8"/>
  <c r="Q139" i="8"/>
  <c r="S139" i="8"/>
  <c r="P139" i="8"/>
  <c r="M139" i="8"/>
  <c r="F129" i="7" s="1"/>
  <c r="L139" i="8"/>
  <c r="O139" i="8" s="1"/>
  <c r="H129" i="7" s="1"/>
  <c r="N139" i="8"/>
  <c r="G129" i="7" s="1"/>
  <c r="K139" i="8"/>
  <c r="E129" i="7" s="1"/>
  <c r="J139" i="8"/>
  <c r="I139" i="8"/>
  <c r="D129" i="7" s="1"/>
  <c r="H139" i="8"/>
  <c r="G139" i="8"/>
  <c r="F139" i="8"/>
  <c r="E139" i="8"/>
  <c r="Z138" i="8"/>
  <c r="T138" i="8"/>
  <c r="Q138" i="8"/>
  <c r="R138" i="8" s="1"/>
  <c r="S138" i="8"/>
  <c r="P138" i="8"/>
  <c r="L138" i="8"/>
  <c r="N138" i="8"/>
  <c r="G135" i="7" s="1"/>
  <c r="K138" i="8"/>
  <c r="E135" i="7" s="1"/>
  <c r="J138" i="8"/>
  <c r="I138" i="8"/>
  <c r="D135" i="7" s="1"/>
  <c r="H138" i="8"/>
  <c r="G138" i="8"/>
  <c r="F138" i="8"/>
  <c r="E138" i="8"/>
  <c r="Z137" i="8"/>
  <c r="Q137" i="8"/>
  <c r="S137" i="8"/>
  <c r="P137" i="8"/>
  <c r="M137" i="8"/>
  <c r="F136" i="7" s="1"/>
  <c r="L137" i="8"/>
  <c r="O137" i="8" s="1"/>
  <c r="H136" i="7" s="1"/>
  <c r="N137" i="8"/>
  <c r="G136" i="7" s="1"/>
  <c r="K137" i="8"/>
  <c r="E136" i="7" s="1"/>
  <c r="J137" i="8"/>
  <c r="I137" i="8"/>
  <c r="D136" i="7" s="1"/>
  <c r="H137" i="8"/>
  <c r="G137" i="8"/>
  <c r="F137" i="8"/>
  <c r="E137" i="8"/>
  <c r="Z136" i="8"/>
  <c r="T136" i="8"/>
  <c r="R136" i="8"/>
  <c r="Q136" i="8"/>
  <c r="S136" i="8"/>
  <c r="P136" i="8"/>
  <c r="O136" i="8"/>
  <c r="M136" i="8"/>
  <c r="L136" i="8"/>
  <c r="N136" i="8"/>
  <c r="K136" i="8"/>
  <c r="J136" i="8"/>
  <c r="I136" i="8"/>
  <c r="H136" i="8"/>
  <c r="G136" i="8"/>
  <c r="F136" i="8"/>
  <c r="E136" i="8"/>
  <c r="Z135" i="8"/>
  <c r="T135" i="8"/>
  <c r="Q135" i="8"/>
  <c r="R135" i="8" s="1"/>
  <c r="S135" i="8"/>
  <c r="P135" i="8"/>
  <c r="O135" i="8"/>
  <c r="H148" i="7" s="1"/>
  <c r="L135" i="8"/>
  <c r="M135" i="8" s="1"/>
  <c r="F148" i="7" s="1"/>
  <c r="N135" i="8"/>
  <c r="G148" i="7" s="1"/>
  <c r="K135" i="8"/>
  <c r="E148" i="7" s="1"/>
  <c r="J135" i="8"/>
  <c r="I135" i="8"/>
  <c r="H135" i="8"/>
  <c r="G135" i="8"/>
  <c r="F135" i="8"/>
  <c r="E135" i="8"/>
  <c r="Z134" i="8"/>
  <c r="T134" i="8"/>
  <c r="R134" i="8"/>
  <c r="Q134" i="8"/>
  <c r="S134" i="8"/>
  <c r="P134" i="8"/>
  <c r="L134" i="8"/>
  <c r="N134" i="8"/>
  <c r="G149" i="7" s="1"/>
  <c r="K134" i="8"/>
  <c r="E149" i="7" s="1"/>
  <c r="J134" i="8"/>
  <c r="I134" i="8"/>
  <c r="D149" i="7" s="1"/>
  <c r="H134" i="8"/>
  <c r="G134" i="8"/>
  <c r="F134" i="8"/>
  <c r="E134" i="8"/>
  <c r="Z133" i="8"/>
  <c r="Q133" i="8"/>
  <c r="S133" i="8"/>
  <c r="P133" i="8"/>
  <c r="O133" i="8"/>
  <c r="M133" i="8"/>
  <c r="L133" i="8"/>
  <c r="N133" i="8"/>
  <c r="G150" i="7" s="1"/>
  <c r="K133" i="8"/>
  <c r="E150" i="7" s="1"/>
  <c r="J133" i="8"/>
  <c r="I133" i="8"/>
  <c r="D150" i="7" s="1"/>
  <c r="H133" i="8"/>
  <c r="G133" i="8"/>
  <c r="F133" i="8"/>
  <c r="E133" i="8"/>
  <c r="Z132" i="8"/>
  <c r="Q132" i="8"/>
  <c r="T132" i="8" s="1"/>
  <c r="S132" i="8"/>
  <c r="P132" i="8"/>
  <c r="O132" i="8"/>
  <c r="H151" i="7" s="1"/>
  <c r="L132" i="8"/>
  <c r="M132" i="8" s="1"/>
  <c r="F151" i="7" s="1"/>
  <c r="N132" i="8"/>
  <c r="G151" i="7" s="1"/>
  <c r="K132" i="8"/>
  <c r="E151" i="7" s="1"/>
  <c r="J132" i="8"/>
  <c r="I132" i="8"/>
  <c r="D151" i="7" s="1"/>
  <c r="H132" i="8"/>
  <c r="G132" i="8"/>
  <c r="F132" i="8"/>
  <c r="E132" i="8"/>
  <c r="Z131" i="8"/>
  <c r="T131" i="8"/>
  <c r="R131" i="8"/>
  <c r="Q131" i="8"/>
  <c r="S131" i="8"/>
  <c r="P131" i="8"/>
  <c r="O131" i="8"/>
  <c r="M131" i="8"/>
  <c r="L131" i="8"/>
  <c r="N131" i="8"/>
  <c r="G152" i="7" s="1"/>
  <c r="K131" i="8"/>
  <c r="E152" i="7" s="1"/>
  <c r="J131" i="8"/>
  <c r="I131" i="8"/>
  <c r="D152" i="7" s="1"/>
  <c r="H131" i="8"/>
  <c r="G131" i="8"/>
  <c r="F131" i="8"/>
  <c r="E131" i="8"/>
  <c r="Z130" i="8"/>
  <c r="T130" i="8"/>
  <c r="Q130" i="8"/>
  <c r="R130" i="8" s="1"/>
  <c r="S130" i="8"/>
  <c r="P130" i="8"/>
  <c r="L130" i="8"/>
  <c r="N130" i="8"/>
  <c r="G154" i="7" s="1"/>
  <c r="K130" i="8"/>
  <c r="E154" i="7" s="1"/>
  <c r="J130" i="8"/>
  <c r="I130" i="8"/>
  <c r="H130" i="8"/>
  <c r="G130" i="8"/>
  <c r="F130" i="8"/>
  <c r="E130" i="8"/>
  <c r="Z129" i="8"/>
  <c r="Q129" i="8"/>
  <c r="S129" i="8"/>
  <c r="P129" i="8"/>
  <c r="M129" i="8"/>
  <c r="F155" i="7" s="1"/>
  <c r="L129" i="8"/>
  <c r="O129" i="8" s="1"/>
  <c r="H155" i="7" s="1"/>
  <c r="N129" i="8"/>
  <c r="G155" i="7" s="1"/>
  <c r="K129" i="8"/>
  <c r="E155" i="7" s="1"/>
  <c r="J129" i="8"/>
  <c r="I129" i="8"/>
  <c r="H129" i="8"/>
  <c r="G129" i="8"/>
  <c r="F129" i="8"/>
  <c r="E129" i="8"/>
  <c r="Z128" i="8"/>
  <c r="T128" i="8"/>
  <c r="R128" i="8"/>
  <c r="Q128" i="8"/>
  <c r="S128" i="8"/>
  <c r="P128" i="8"/>
  <c r="O128" i="8"/>
  <c r="H157" i="7" s="1"/>
  <c r="M128" i="8"/>
  <c r="L128" i="8"/>
  <c r="N128" i="8"/>
  <c r="G157" i="7" s="1"/>
  <c r="K128" i="8"/>
  <c r="E157" i="7" s="1"/>
  <c r="J128" i="8"/>
  <c r="I128" i="8"/>
  <c r="D157" i="7" s="1"/>
  <c r="H128" i="8"/>
  <c r="G128" i="8"/>
  <c r="F128" i="8"/>
  <c r="E128" i="8"/>
  <c r="Z127" i="8"/>
  <c r="T127" i="8"/>
  <c r="Q127" i="8"/>
  <c r="R127" i="8" s="1"/>
  <c r="S127" i="8"/>
  <c r="P127" i="8"/>
  <c r="O127" i="8"/>
  <c r="H158" i="7" s="1"/>
  <c r="L127" i="8"/>
  <c r="M127" i="8" s="1"/>
  <c r="F158" i="7" s="1"/>
  <c r="N127" i="8"/>
  <c r="G158" i="7" s="1"/>
  <c r="K127" i="8"/>
  <c r="E158" i="7" s="1"/>
  <c r="J127" i="8"/>
  <c r="I127" i="8"/>
  <c r="H127" i="8"/>
  <c r="G127" i="8"/>
  <c r="F127" i="8"/>
  <c r="E127" i="8"/>
  <c r="Z126" i="8"/>
  <c r="T126" i="8"/>
  <c r="R126" i="8"/>
  <c r="Q126" i="8"/>
  <c r="S126" i="8"/>
  <c r="P126" i="8"/>
  <c r="L126" i="8"/>
  <c r="N126" i="8"/>
  <c r="G160" i="7" s="1"/>
  <c r="K126" i="8"/>
  <c r="E160" i="7" s="1"/>
  <c r="J126" i="8"/>
  <c r="I126" i="8"/>
  <c r="D160" i="7" s="1"/>
  <c r="H126" i="8"/>
  <c r="G126" i="8"/>
  <c r="F126" i="8"/>
  <c r="E126" i="8"/>
  <c r="Z125" i="8"/>
  <c r="Q125" i="8"/>
  <c r="S125" i="8"/>
  <c r="P125" i="8"/>
  <c r="O125" i="8"/>
  <c r="M125" i="8"/>
  <c r="L125" i="8"/>
  <c r="N125" i="8"/>
  <c r="G163" i="7" s="1"/>
  <c r="K125" i="8"/>
  <c r="E163" i="7" s="1"/>
  <c r="J125" i="8"/>
  <c r="I125" i="8"/>
  <c r="D163" i="7" s="1"/>
  <c r="H125" i="8"/>
  <c r="G125" i="8"/>
  <c r="F125" i="8"/>
  <c r="E125" i="8"/>
  <c r="Z124" i="8"/>
  <c r="Q124" i="8"/>
  <c r="T124" i="8" s="1"/>
  <c r="S124" i="8"/>
  <c r="P124" i="8"/>
  <c r="O124" i="8"/>
  <c r="H164" i="7" s="1"/>
  <c r="L124" i="8"/>
  <c r="M124" i="8" s="1"/>
  <c r="F164" i="7" s="1"/>
  <c r="N124" i="8"/>
  <c r="G164" i="7" s="1"/>
  <c r="K124" i="8"/>
  <c r="E164" i="7" s="1"/>
  <c r="J124" i="8"/>
  <c r="I124" i="8"/>
  <c r="H124" i="8"/>
  <c r="G124" i="8"/>
  <c r="F124" i="8"/>
  <c r="E124" i="8"/>
  <c r="Z123" i="8"/>
  <c r="T123" i="8"/>
  <c r="R123" i="8"/>
  <c r="Q123" i="8"/>
  <c r="S123" i="8"/>
  <c r="P123" i="8"/>
  <c r="O123" i="8"/>
  <c r="M123" i="8"/>
  <c r="L123" i="8"/>
  <c r="N123" i="8"/>
  <c r="G169" i="7" s="1"/>
  <c r="K123" i="8"/>
  <c r="E169" i="7" s="1"/>
  <c r="J123" i="8"/>
  <c r="I123" i="8"/>
  <c r="D169" i="7" s="1"/>
  <c r="H123" i="8"/>
  <c r="G123" i="8"/>
  <c r="F123" i="8"/>
  <c r="E123" i="8"/>
  <c r="Z122" i="8"/>
  <c r="S122" i="8"/>
  <c r="P122" i="8"/>
  <c r="N122" i="8"/>
  <c r="G162" i="7" s="1"/>
  <c r="K122" i="8"/>
  <c r="I122" i="8"/>
  <c r="D162" i="7" s="1"/>
  <c r="H122" i="8"/>
  <c r="G122" i="8"/>
  <c r="F122" i="8"/>
  <c r="E122" i="8"/>
  <c r="D122" i="8"/>
  <c r="A122" i="8"/>
  <c r="Z121" i="8"/>
  <c r="T121" i="8"/>
  <c r="Q121" i="8"/>
  <c r="R121" i="8" s="1"/>
  <c r="S121" i="8"/>
  <c r="P121" i="8"/>
  <c r="L121" i="8"/>
  <c r="N121" i="8"/>
  <c r="G120" i="7" s="1"/>
  <c r="K121" i="8"/>
  <c r="E120" i="7" s="1"/>
  <c r="J121" i="8"/>
  <c r="I121" i="8"/>
  <c r="D120" i="7" s="1"/>
  <c r="H121" i="8"/>
  <c r="G121" i="8"/>
  <c r="F121" i="8"/>
  <c r="E121" i="8"/>
  <c r="Z120" i="8"/>
  <c r="Q120" i="8"/>
  <c r="S120" i="8"/>
  <c r="P120" i="8"/>
  <c r="L120" i="8"/>
  <c r="O120" i="8" s="1"/>
  <c r="H134" i="7" s="1"/>
  <c r="N120" i="8"/>
  <c r="G134" i="7" s="1"/>
  <c r="K120" i="8"/>
  <c r="E134" i="7" s="1"/>
  <c r="J120" i="8"/>
  <c r="I120" i="8"/>
  <c r="D134" i="7" s="1"/>
  <c r="H120" i="8"/>
  <c r="G120" i="8"/>
  <c r="F120" i="8"/>
  <c r="E120" i="8"/>
  <c r="Z119" i="8"/>
  <c r="T119" i="8"/>
  <c r="R119" i="8"/>
  <c r="Q119" i="8"/>
  <c r="S119" i="8"/>
  <c r="P119" i="8"/>
  <c r="O119" i="8"/>
  <c r="H143" i="7" s="1"/>
  <c r="M119" i="8"/>
  <c r="F143" i="7" s="1"/>
  <c r="L119" i="8"/>
  <c r="N119" i="8"/>
  <c r="G143" i="7" s="1"/>
  <c r="K119" i="8"/>
  <c r="E143" i="7" s="1"/>
  <c r="J119" i="8"/>
  <c r="I119" i="8"/>
  <c r="D143" i="7" s="1"/>
  <c r="H119" i="8"/>
  <c r="G119" i="8"/>
  <c r="F119" i="8"/>
  <c r="E119" i="8"/>
  <c r="Z118" i="8"/>
  <c r="T118" i="8"/>
  <c r="Q118" i="8"/>
  <c r="R118" i="8" s="1"/>
  <c r="S118" i="8"/>
  <c r="P118" i="8"/>
  <c r="O118" i="8"/>
  <c r="H144" i="7" s="1"/>
  <c r="L118" i="8"/>
  <c r="M118" i="8" s="1"/>
  <c r="F144" i="7" s="1"/>
  <c r="N118" i="8"/>
  <c r="G144" i="7" s="1"/>
  <c r="K118" i="8"/>
  <c r="E144" i="7" s="1"/>
  <c r="J118" i="8"/>
  <c r="I118" i="8"/>
  <c r="D144" i="7" s="1"/>
  <c r="H118" i="8"/>
  <c r="G118" i="8"/>
  <c r="F118" i="8"/>
  <c r="E118" i="8"/>
  <c r="Z117" i="8"/>
  <c r="T117" i="8"/>
  <c r="R117" i="8"/>
  <c r="Q117" i="8"/>
  <c r="S117" i="8"/>
  <c r="P117" i="8"/>
  <c r="L117" i="8"/>
  <c r="N117" i="8"/>
  <c r="K117" i="8"/>
  <c r="J117" i="8"/>
  <c r="I117" i="8"/>
  <c r="H117" i="8"/>
  <c r="G117" i="8"/>
  <c r="F117" i="8"/>
  <c r="E117" i="8"/>
  <c r="Z116" i="8"/>
  <c r="S116" i="8"/>
  <c r="R116" i="8"/>
  <c r="P116" i="8"/>
  <c r="N116" i="8"/>
  <c r="G166" i="7" s="1"/>
  <c r="M116" i="8"/>
  <c r="F166" i="7" s="1"/>
  <c r="K116" i="8"/>
  <c r="E166" i="7" s="1"/>
  <c r="I116" i="8"/>
  <c r="D166" i="7" s="1"/>
  <c r="H116" i="8"/>
  <c r="G116" i="8"/>
  <c r="F116" i="8"/>
  <c r="E116" i="8"/>
  <c r="D116" i="8"/>
  <c r="A116" i="8"/>
  <c r="Z115" i="8"/>
  <c r="Q115" i="8"/>
  <c r="S115" i="8"/>
  <c r="P115" i="8"/>
  <c r="O115" i="8"/>
  <c r="M115" i="8"/>
  <c r="L115" i="8"/>
  <c r="N115" i="8"/>
  <c r="K115" i="8"/>
  <c r="J115" i="8"/>
  <c r="I115" i="8"/>
  <c r="H115" i="8"/>
  <c r="G115" i="8"/>
  <c r="F115" i="8"/>
  <c r="E115" i="8"/>
  <c r="Z114" i="8"/>
  <c r="R114" i="8"/>
  <c r="Q114" i="8"/>
  <c r="T114" i="8" s="1"/>
  <c r="S114" i="8"/>
  <c r="P114" i="8"/>
  <c r="O114" i="8"/>
  <c r="H125" i="7" s="1"/>
  <c r="L114" i="8"/>
  <c r="M114" i="8" s="1"/>
  <c r="F125" i="7" s="1"/>
  <c r="N114" i="8"/>
  <c r="G125" i="7" s="1"/>
  <c r="K114" i="8"/>
  <c r="E125" i="7" s="1"/>
  <c r="J114" i="8"/>
  <c r="I114" i="8"/>
  <c r="D125" i="7" s="1"/>
  <c r="H114" i="8"/>
  <c r="G114" i="8"/>
  <c r="F114" i="8"/>
  <c r="E114" i="8"/>
  <c r="Z113" i="8"/>
  <c r="T113" i="8"/>
  <c r="R113" i="8"/>
  <c r="Q113" i="8"/>
  <c r="S113" i="8"/>
  <c r="P113" i="8"/>
  <c r="O113" i="8"/>
  <c r="H138" i="7" s="1"/>
  <c r="M113" i="8"/>
  <c r="F138" i="7" s="1"/>
  <c r="L113" i="8"/>
  <c r="N113" i="8"/>
  <c r="G138" i="7" s="1"/>
  <c r="K113" i="8"/>
  <c r="E138" i="7" s="1"/>
  <c r="J113" i="8"/>
  <c r="I113" i="8"/>
  <c r="D138" i="7" s="1"/>
  <c r="H113" i="8"/>
  <c r="G113" i="8"/>
  <c r="F113" i="8"/>
  <c r="E113" i="8"/>
  <c r="Z112" i="8"/>
  <c r="T112" i="8"/>
  <c r="Q112" i="8"/>
  <c r="R112" i="8" s="1"/>
  <c r="S112" i="8"/>
  <c r="P112" i="8"/>
  <c r="L112" i="8"/>
  <c r="N112" i="8"/>
  <c r="G145" i="7" s="1"/>
  <c r="K112" i="8"/>
  <c r="E145" i="7" s="1"/>
  <c r="J112" i="8"/>
  <c r="I112" i="8"/>
  <c r="D145" i="7" s="1"/>
  <c r="H112" i="8"/>
  <c r="G112" i="8"/>
  <c r="F112" i="8"/>
  <c r="E112" i="8"/>
  <c r="Z111" i="8"/>
  <c r="Q111" i="8"/>
  <c r="S111" i="8"/>
  <c r="P111" i="8"/>
  <c r="L111" i="8"/>
  <c r="O111" i="8" s="1"/>
  <c r="H153" i="7" s="1"/>
  <c r="N111" i="8"/>
  <c r="G153" i="7" s="1"/>
  <c r="K111" i="8"/>
  <c r="E153" i="7" s="1"/>
  <c r="J111" i="8"/>
  <c r="I111" i="8"/>
  <c r="D153" i="7" s="1"/>
  <c r="H111" i="8"/>
  <c r="G111" i="8"/>
  <c r="F111" i="8"/>
  <c r="E111" i="8"/>
  <c r="Z110" i="8"/>
  <c r="T110" i="8"/>
  <c r="R110" i="8"/>
  <c r="Q110" i="8"/>
  <c r="S110" i="8"/>
  <c r="P110" i="8"/>
  <c r="O110" i="8"/>
  <c r="M110" i="8"/>
  <c r="L110" i="8"/>
  <c r="N110" i="8"/>
  <c r="K110" i="8"/>
  <c r="J110" i="8"/>
  <c r="I110" i="8"/>
  <c r="H110" i="8"/>
  <c r="G110" i="8"/>
  <c r="F110" i="8"/>
  <c r="E110" i="8"/>
  <c r="Z109" i="8"/>
  <c r="T109" i="8"/>
  <c r="S109" i="8"/>
  <c r="P109" i="8"/>
  <c r="O109" i="8"/>
  <c r="H167" i="7" s="1"/>
  <c r="N109" i="8"/>
  <c r="G167" i="7" s="1"/>
  <c r="K109" i="8"/>
  <c r="M109" i="8" s="1"/>
  <c r="F167" i="7" s="1"/>
  <c r="I109" i="8"/>
  <c r="H109" i="8"/>
  <c r="G109" i="8"/>
  <c r="F109" i="8"/>
  <c r="E109" i="8"/>
  <c r="D109" i="8"/>
  <c r="A109" i="8"/>
  <c r="Z108" i="8"/>
  <c r="T108" i="8"/>
  <c r="Q108" i="8"/>
  <c r="R108" i="8" s="1"/>
  <c r="S108" i="8"/>
  <c r="P108" i="8"/>
  <c r="O108" i="8"/>
  <c r="H119" i="7" s="1"/>
  <c r="L108" i="8"/>
  <c r="M108" i="8" s="1"/>
  <c r="F119" i="7" s="1"/>
  <c r="N108" i="8"/>
  <c r="G119" i="7" s="1"/>
  <c r="K108" i="8"/>
  <c r="E119" i="7" s="1"/>
  <c r="J108" i="8"/>
  <c r="I108" i="8"/>
  <c r="D119" i="7" s="1"/>
  <c r="H108" i="8"/>
  <c r="G108" i="8"/>
  <c r="F108" i="8"/>
  <c r="E108" i="8"/>
  <c r="Z107" i="8"/>
  <c r="T107" i="8"/>
  <c r="R107" i="8"/>
  <c r="Q107" i="8"/>
  <c r="S107" i="8"/>
  <c r="P107" i="8"/>
  <c r="L107" i="8"/>
  <c r="N107" i="8"/>
  <c r="G132" i="7" s="1"/>
  <c r="K107" i="8"/>
  <c r="E132" i="7" s="1"/>
  <c r="J107" i="8"/>
  <c r="I107" i="8"/>
  <c r="D132" i="7" s="1"/>
  <c r="H107" i="8"/>
  <c r="G107" i="8"/>
  <c r="F107" i="8"/>
  <c r="E107" i="8"/>
  <c r="Z106" i="8"/>
  <c r="Q106" i="8"/>
  <c r="S106" i="8"/>
  <c r="P106" i="8"/>
  <c r="O106" i="8"/>
  <c r="H139" i="7" s="1"/>
  <c r="M106" i="8"/>
  <c r="F139" i="7" s="1"/>
  <c r="L106" i="8"/>
  <c r="N106" i="8"/>
  <c r="G139" i="7" s="1"/>
  <c r="K106" i="8"/>
  <c r="E139" i="7" s="1"/>
  <c r="J106" i="8"/>
  <c r="I106" i="8"/>
  <c r="D139" i="7" s="1"/>
  <c r="H106" i="8"/>
  <c r="G106" i="8"/>
  <c r="F106" i="8"/>
  <c r="E106" i="8"/>
  <c r="Z105" i="8"/>
  <c r="R105" i="8"/>
  <c r="Q105" i="8"/>
  <c r="T105" i="8" s="1"/>
  <c r="S105" i="8"/>
  <c r="P105" i="8"/>
  <c r="O105" i="8"/>
  <c r="H140" i="7" s="1"/>
  <c r="L105" i="8"/>
  <c r="M105" i="8" s="1"/>
  <c r="F140" i="7" s="1"/>
  <c r="N105" i="8"/>
  <c r="G140" i="7" s="1"/>
  <c r="K105" i="8"/>
  <c r="E140" i="7" s="1"/>
  <c r="J105" i="8"/>
  <c r="I105" i="8"/>
  <c r="D140" i="7" s="1"/>
  <c r="H105" i="8"/>
  <c r="G105" i="8"/>
  <c r="F105" i="8"/>
  <c r="E105" i="8"/>
  <c r="Z104" i="8"/>
  <c r="T104" i="8"/>
  <c r="R104" i="8"/>
  <c r="Q104" i="8"/>
  <c r="S104" i="8"/>
  <c r="P104" i="8"/>
  <c r="O104" i="8"/>
  <c r="H141" i="7" s="1"/>
  <c r="M104" i="8"/>
  <c r="F141" i="7" s="1"/>
  <c r="L104" i="8"/>
  <c r="N104" i="8"/>
  <c r="G141" i="7" s="1"/>
  <c r="K104" i="8"/>
  <c r="E141" i="7" s="1"/>
  <c r="J104" i="8"/>
  <c r="I104" i="8"/>
  <c r="D141" i="7" s="1"/>
  <c r="H104" i="8"/>
  <c r="G104" i="8"/>
  <c r="F104" i="8"/>
  <c r="E104" i="8"/>
  <c r="Z103" i="8"/>
  <c r="T103" i="8"/>
  <c r="Q103" i="8"/>
  <c r="R103" i="8" s="1"/>
  <c r="S103" i="8"/>
  <c r="P103" i="8"/>
  <c r="L103" i="8"/>
  <c r="N103" i="8"/>
  <c r="G168" i="7" s="1"/>
  <c r="K103" i="8"/>
  <c r="E168" i="7" s="1"/>
  <c r="J103" i="8"/>
  <c r="I103" i="8"/>
  <c r="D168" i="7" s="1"/>
  <c r="H103" i="8"/>
  <c r="G103" i="8"/>
  <c r="F103" i="8"/>
  <c r="E103" i="8"/>
  <c r="Z102" i="8"/>
  <c r="R102" i="8"/>
  <c r="Q102" i="8"/>
  <c r="T102" i="8" s="1"/>
  <c r="S102" i="8"/>
  <c r="P102" i="8"/>
  <c r="M102" i="8"/>
  <c r="F117" i="7" s="1"/>
  <c r="L102" i="8"/>
  <c r="O102" i="8" s="1"/>
  <c r="H117" i="7" s="1"/>
  <c r="N102" i="8"/>
  <c r="G117" i="7" s="1"/>
  <c r="K102" i="8"/>
  <c r="E117" i="7" s="1"/>
  <c r="J102" i="8"/>
  <c r="I102" i="8"/>
  <c r="D117" i="7" s="1"/>
  <c r="H102" i="8"/>
  <c r="G102" i="8"/>
  <c r="F102" i="8"/>
  <c r="E102" i="8"/>
  <c r="Z101" i="8"/>
  <c r="T101" i="8"/>
  <c r="R101" i="8"/>
  <c r="Q101" i="8"/>
  <c r="S101" i="8"/>
  <c r="P101" i="8"/>
  <c r="O101" i="8"/>
  <c r="H118" i="7" s="1"/>
  <c r="M101" i="8"/>
  <c r="F118" i="7" s="1"/>
  <c r="L101" i="8"/>
  <c r="N101" i="8"/>
  <c r="G118" i="7" s="1"/>
  <c r="K101" i="8"/>
  <c r="E118" i="7" s="1"/>
  <c r="J101" i="8"/>
  <c r="I101" i="8"/>
  <c r="H101" i="8"/>
  <c r="G101" i="8"/>
  <c r="F101" i="8"/>
  <c r="E101" i="8"/>
  <c r="G100" i="8"/>
  <c r="A100" i="8"/>
  <c r="Z99" i="8"/>
  <c r="S99" i="8"/>
  <c r="P99" i="8"/>
  <c r="R99" i="8" s="1"/>
  <c r="N99" i="8"/>
  <c r="M99" i="8"/>
  <c r="F110" i="7" s="1"/>
  <c r="K99" i="8"/>
  <c r="E110" i="7" s="1"/>
  <c r="I99" i="8"/>
  <c r="D110" i="7" s="1"/>
  <c r="H99" i="8"/>
  <c r="G99" i="8"/>
  <c r="F99" i="8"/>
  <c r="E99" i="8"/>
  <c r="D99" i="8"/>
  <c r="A99" i="8"/>
  <c r="Z98" i="8"/>
  <c r="S98" i="8"/>
  <c r="P98" i="8"/>
  <c r="R98" i="8" s="1"/>
  <c r="N98" i="8"/>
  <c r="M98" i="8"/>
  <c r="F108" i="7" s="1"/>
  <c r="K98" i="8"/>
  <c r="E108" i="7" s="1"/>
  <c r="I98" i="8"/>
  <c r="D108" i="7" s="1"/>
  <c r="H98" i="8"/>
  <c r="G98" i="8"/>
  <c r="F98" i="8"/>
  <c r="E98" i="8"/>
  <c r="D98" i="8"/>
  <c r="A98" i="8"/>
  <c r="Z97" i="8"/>
  <c r="S97" i="8"/>
  <c r="P97" i="8"/>
  <c r="R97" i="8" s="1"/>
  <c r="N97" i="8"/>
  <c r="M97" i="8"/>
  <c r="F113" i="7" s="1"/>
  <c r="K97" i="8"/>
  <c r="E113" i="7" s="1"/>
  <c r="I97" i="8"/>
  <c r="D113" i="7" s="1"/>
  <c r="H97" i="8"/>
  <c r="G97" i="8"/>
  <c r="F97" i="8"/>
  <c r="E97" i="8"/>
  <c r="D97" i="8"/>
  <c r="A97" i="8"/>
  <c r="Z96" i="8"/>
  <c r="S96" i="8"/>
  <c r="P96" i="8"/>
  <c r="R96" i="8" s="1"/>
  <c r="N96" i="8"/>
  <c r="M96" i="8"/>
  <c r="F111" i="7" s="1"/>
  <c r="K96" i="8"/>
  <c r="E111" i="7" s="1"/>
  <c r="I96" i="8"/>
  <c r="D111" i="7" s="1"/>
  <c r="H96" i="8"/>
  <c r="G96" i="8"/>
  <c r="F96" i="8"/>
  <c r="E96" i="8"/>
  <c r="D96" i="8"/>
  <c r="A96" i="8"/>
  <c r="Z95" i="8"/>
  <c r="S95" i="8"/>
  <c r="P95" i="8"/>
  <c r="R95" i="8" s="1"/>
  <c r="N95" i="8"/>
  <c r="M95" i="8"/>
  <c r="F112" i="7" s="1"/>
  <c r="K95" i="8"/>
  <c r="E112" i="7" s="1"/>
  <c r="I95" i="8"/>
  <c r="D112" i="7" s="1"/>
  <c r="H95" i="8"/>
  <c r="G95" i="8"/>
  <c r="F95" i="8"/>
  <c r="E95" i="8"/>
  <c r="D95" i="8"/>
  <c r="A95" i="8"/>
  <c r="Z94" i="8"/>
  <c r="Q94" i="8"/>
  <c r="S94" i="8"/>
  <c r="P94" i="8"/>
  <c r="O94" i="8"/>
  <c r="H101" i="7" s="1"/>
  <c r="G102" i="7" s="1"/>
  <c r="M94" i="8"/>
  <c r="F101" i="7" s="1"/>
  <c r="E102" i="7" s="1"/>
  <c r="L94" i="8"/>
  <c r="N94" i="8"/>
  <c r="G101" i="7" s="1"/>
  <c r="K94" i="8"/>
  <c r="E101" i="7" s="1"/>
  <c r="J94" i="8"/>
  <c r="I94" i="8"/>
  <c r="D101" i="7" s="1"/>
  <c r="H94" i="8"/>
  <c r="G94" i="8"/>
  <c r="F94" i="8"/>
  <c r="E94" i="8"/>
  <c r="Z93" i="8"/>
  <c r="Q93" i="8"/>
  <c r="S93" i="8"/>
  <c r="P93" i="8"/>
  <c r="O93" i="8"/>
  <c r="H104" i="7" s="1"/>
  <c r="G106" i="7" s="1"/>
  <c r="L93" i="8"/>
  <c r="M93" i="8" s="1"/>
  <c r="F104" i="7" s="1"/>
  <c r="E106" i="7" s="1"/>
  <c r="N93" i="8"/>
  <c r="G104" i="7" s="1"/>
  <c r="K93" i="8"/>
  <c r="E104" i="7" s="1"/>
  <c r="J93" i="8"/>
  <c r="I93" i="8"/>
  <c r="D104" i="7" s="1"/>
  <c r="H93" i="8"/>
  <c r="G93" i="8"/>
  <c r="F93" i="8"/>
  <c r="E93" i="8"/>
  <c r="Z92" i="8"/>
  <c r="T92" i="8"/>
  <c r="R92" i="8"/>
  <c r="Q92" i="8"/>
  <c r="S92" i="8"/>
  <c r="P92" i="8"/>
  <c r="O92" i="8"/>
  <c r="H105" i="7" s="1"/>
  <c r="M92" i="8"/>
  <c r="F105" i="7" s="1"/>
  <c r="L92" i="8"/>
  <c r="N92" i="8"/>
  <c r="G105" i="7" s="1"/>
  <c r="K92" i="8"/>
  <c r="E105" i="7" s="1"/>
  <c r="J92" i="8"/>
  <c r="I92" i="8"/>
  <c r="D105" i="7" s="1"/>
  <c r="H92" i="8"/>
  <c r="G92" i="8"/>
  <c r="F92" i="8"/>
  <c r="E92" i="8"/>
  <c r="Z91" i="8"/>
  <c r="Q91" i="8"/>
  <c r="S91" i="8"/>
  <c r="P91" i="8"/>
  <c r="L91" i="8"/>
  <c r="N91" i="8"/>
  <c r="G109" i="7" s="1"/>
  <c r="K91" i="8"/>
  <c r="E109" i="7" s="1"/>
  <c r="J91" i="8"/>
  <c r="I91" i="8"/>
  <c r="D109" i="7" s="1"/>
  <c r="H91" i="8"/>
  <c r="G91" i="8"/>
  <c r="F91" i="8"/>
  <c r="E91" i="8"/>
  <c r="G90" i="8"/>
  <c r="A90" i="8"/>
  <c r="Z89" i="8"/>
  <c r="T89" i="8"/>
  <c r="Q89" i="8"/>
  <c r="R89" i="8" s="1"/>
  <c r="S89" i="8"/>
  <c r="P89" i="8"/>
  <c r="L89" i="8"/>
  <c r="M89" i="8" s="1"/>
  <c r="F53" i="7" s="1"/>
  <c r="N89" i="8"/>
  <c r="G53" i="7" s="1"/>
  <c r="K89" i="8"/>
  <c r="E53" i="7" s="1"/>
  <c r="J89" i="8"/>
  <c r="I89" i="8"/>
  <c r="D53" i="7" s="1"/>
  <c r="H89" i="8"/>
  <c r="G89" i="8"/>
  <c r="F89" i="8"/>
  <c r="E89" i="8"/>
  <c r="Z88" i="8"/>
  <c r="T88" i="8"/>
  <c r="R88" i="8"/>
  <c r="Q88" i="8"/>
  <c r="S88" i="8"/>
  <c r="P88" i="8"/>
  <c r="L88" i="8"/>
  <c r="O88" i="8" s="1"/>
  <c r="H57" i="7" s="1"/>
  <c r="N88" i="8"/>
  <c r="G57" i="7" s="1"/>
  <c r="K88" i="8"/>
  <c r="E57" i="7" s="1"/>
  <c r="J88" i="8"/>
  <c r="I88" i="8"/>
  <c r="D57" i="7" s="1"/>
  <c r="H88" i="8"/>
  <c r="G88" i="8"/>
  <c r="F88" i="8"/>
  <c r="E88" i="8"/>
  <c r="Z87" i="8"/>
  <c r="T87" i="8"/>
  <c r="Q87" i="8"/>
  <c r="R87" i="8" s="1"/>
  <c r="S87" i="8"/>
  <c r="P87" i="8"/>
  <c r="O87" i="8"/>
  <c r="H59" i="7" s="1"/>
  <c r="M87" i="8"/>
  <c r="F59" i="7" s="1"/>
  <c r="L87" i="8"/>
  <c r="N87" i="8"/>
  <c r="G59" i="7" s="1"/>
  <c r="K87" i="8"/>
  <c r="E59" i="7" s="1"/>
  <c r="J87" i="8"/>
  <c r="I87" i="8"/>
  <c r="D59" i="7" s="1"/>
  <c r="H87" i="8"/>
  <c r="G87" i="8"/>
  <c r="F87" i="8"/>
  <c r="E87" i="8"/>
  <c r="Z86" i="8"/>
  <c r="R86" i="8"/>
  <c r="Q86" i="8"/>
  <c r="T86" i="8" s="1"/>
  <c r="S86" i="8"/>
  <c r="P86" i="8"/>
  <c r="O86" i="8"/>
  <c r="H60" i="7" s="1"/>
  <c r="L86" i="8"/>
  <c r="M86" i="8" s="1"/>
  <c r="F60" i="7" s="1"/>
  <c r="N86" i="8"/>
  <c r="G60" i="7" s="1"/>
  <c r="K86" i="8"/>
  <c r="E60" i="7" s="1"/>
  <c r="J86" i="8"/>
  <c r="I86" i="8"/>
  <c r="D60" i="7" s="1"/>
  <c r="H86" i="8"/>
  <c r="G86" i="8"/>
  <c r="F86" i="8"/>
  <c r="E86" i="8"/>
  <c r="Z85" i="8"/>
  <c r="T85" i="8"/>
  <c r="R85" i="8"/>
  <c r="Q85" i="8"/>
  <c r="S85" i="8"/>
  <c r="P85" i="8"/>
  <c r="O85" i="8"/>
  <c r="H61" i="7" s="1"/>
  <c r="M85" i="8"/>
  <c r="F61" i="7" s="1"/>
  <c r="L85" i="8"/>
  <c r="N85" i="8"/>
  <c r="G61" i="7" s="1"/>
  <c r="K85" i="8"/>
  <c r="E61" i="7" s="1"/>
  <c r="J85" i="8"/>
  <c r="I85" i="8"/>
  <c r="D61" i="7" s="1"/>
  <c r="H85" i="8"/>
  <c r="G85" i="8"/>
  <c r="F85" i="8"/>
  <c r="E85" i="8"/>
  <c r="Z84" i="8"/>
  <c r="T84" i="8"/>
  <c r="Q84" i="8"/>
  <c r="R84" i="8" s="1"/>
  <c r="S84" i="8"/>
  <c r="P84" i="8"/>
  <c r="O84" i="8"/>
  <c r="H62" i="7" s="1"/>
  <c r="L84" i="8"/>
  <c r="M84" i="8" s="1"/>
  <c r="F62" i="7" s="1"/>
  <c r="N84" i="8"/>
  <c r="G62" i="7" s="1"/>
  <c r="K84" i="8"/>
  <c r="E62" i="7" s="1"/>
  <c r="J84" i="8"/>
  <c r="I84" i="8"/>
  <c r="D62" i="7" s="1"/>
  <c r="H84" i="8"/>
  <c r="G84" i="8"/>
  <c r="F84" i="8"/>
  <c r="E84" i="8"/>
  <c r="Z83" i="8"/>
  <c r="Q83" i="8"/>
  <c r="T83" i="8" s="1"/>
  <c r="S83" i="8"/>
  <c r="P83" i="8"/>
  <c r="L83" i="8"/>
  <c r="O83" i="8" s="1"/>
  <c r="N83" i="8"/>
  <c r="K83" i="8"/>
  <c r="J83" i="8"/>
  <c r="I83" i="8"/>
  <c r="H83" i="8"/>
  <c r="G83" i="8"/>
  <c r="F83" i="8"/>
  <c r="E83" i="8"/>
  <c r="Z82" i="8"/>
  <c r="T82" i="8"/>
  <c r="R82" i="8"/>
  <c r="Q82" i="8"/>
  <c r="S82" i="8"/>
  <c r="P82" i="8"/>
  <c r="O82" i="8"/>
  <c r="M82" i="8"/>
  <c r="L82" i="8"/>
  <c r="N82" i="8"/>
  <c r="K82" i="8"/>
  <c r="J82" i="8"/>
  <c r="I82" i="8"/>
  <c r="H82" i="8"/>
  <c r="G82" i="8"/>
  <c r="F82" i="8"/>
  <c r="E82" i="8"/>
  <c r="Z81" i="8"/>
  <c r="Q81" i="8"/>
  <c r="R81" i="8" s="1"/>
  <c r="S81" i="8"/>
  <c r="P81" i="8"/>
  <c r="L81" i="8"/>
  <c r="M81" i="8" s="1"/>
  <c r="F66" i="7" s="1"/>
  <c r="N81" i="8"/>
  <c r="G66" i="7" s="1"/>
  <c r="K81" i="8"/>
  <c r="E66" i="7" s="1"/>
  <c r="J81" i="8"/>
  <c r="I81" i="8"/>
  <c r="D66" i="7" s="1"/>
  <c r="H81" i="8"/>
  <c r="G81" i="8"/>
  <c r="F81" i="8"/>
  <c r="E81" i="8"/>
  <c r="Z80" i="8"/>
  <c r="T80" i="8"/>
  <c r="R80" i="8"/>
  <c r="Q80" i="8"/>
  <c r="S80" i="8"/>
  <c r="P80" i="8"/>
  <c r="L80" i="8"/>
  <c r="O80" i="8" s="1"/>
  <c r="H67" i="7" s="1"/>
  <c r="N80" i="8"/>
  <c r="G67" i="7" s="1"/>
  <c r="K80" i="8"/>
  <c r="E67" i="7" s="1"/>
  <c r="J80" i="8"/>
  <c r="I80" i="8"/>
  <c r="D67" i="7" s="1"/>
  <c r="H80" i="8"/>
  <c r="G80" i="8"/>
  <c r="F80" i="8"/>
  <c r="E80" i="8"/>
  <c r="Z79" i="8"/>
  <c r="T79" i="8"/>
  <c r="Q79" i="8"/>
  <c r="R79" i="8" s="1"/>
  <c r="S79" i="8"/>
  <c r="P79" i="8"/>
  <c r="O79" i="8"/>
  <c r="M79" i="8"/>
  <c r="L79" i="8"/>
  <c r="N79" i="8"/>
  <c r="K79" i="8"/>
  <c r="J79" i="8"/>
  <c r="I79" i="8"/>
  <c r="H79" i="8"/>
  <c r="G79" i="8"/>
  <c r="F79" i="8"/>
  <c r="E79" i="8"/>
  <c r="Z78" i="8"/>
  <c r="R78" i="8"/>
  <c r="Q78" i="8"/>
  <c r="T78" i="8" s="1"/>
  <c r="S78" i="8"/>
  <c r="P78" i="8"/>
  <c r="O78" i="8"/>
  <c r="L78" i="8"/>
  <c r="M78" i="8" s="1"/>
  <c r="N78" i="8"/>
  <c r="K78" i="8"/>
  <c r="J78" i="8"/>
  <c r="I78" i="8"/>
  <c r="H78" i="8"/>
  <c r="G78" i="8"/>
  <c r="F78" i="8"/>
  <c r="E78" i="8"/>
  <c r="Z77" i="8"/>
  <c r="T77" i="8"/>
  <c r="R77" i="8"/>
  <c r="Q77" i="8"/>
  <c r="S77" i="8"/>
  <c r="P77" i="8"/>
  <c r="O77" i="8"/>
  <c r="M77" i="8"/>
  <c r="L77" i="8"/>
  <c r="N77" i="8"/>
  <c r="K77" i="8"/>
  <c r="J77" i="8"/>
  <c r="I77" i="8"/>
  <c r="H77" i="8"/>
  <c r="G77" i="8"/>
  <c r="F77" i="8"/>
  <c r="E77" i="8"/>
  <c r="Z76" i="8"/>
  <c r="T76" i="8"/>
  <c r="Q76" i="8"/>
  <c r="R76" i="8" s="1"/>
  <c r="S76" i="8"/>
  <c r="P76" i="8"/>
  <c r="O76" i="8"/>
  <c r="H77" i="7" s="1"/>
  <c r="L76" i="8"/>
  <c r="M76" i="8" s="1"/>
  <c r="F77" i="7" s="1"/>
  <c r="N76" i="8"/>
  <c r="G77" i="7" s="1"/>
  <c r="K76" i="8"/>
  <c r="E77" i="7" s="1"/>
  <c r="J76" i="8"/>
  <c r="I76" i="8"/>
  <c r="D77" i="7" s="1"/>
  <c r="H76" i="8"/>
  <c r="G76" i="8"/>
  <c r="F76" i="8"/>
  <c r="E76" i="8"/>
  <c r="Z75" i="8"/>
  <c r="Q75" i="8"/>
  <c r="T75" i="8" s="1"/>
  <c r="S75" i="8"/>
  <c r="P75" i="8"/>
  <c r="L75" i="8"/>
  <c r="N75" i="8"/>
  <c r="K75" i="8"/>
  <c r="J75" i="8"/>
  <c r="I75" i="8"/>
  <c r="H75" i="8"/>
  <c r="G75" i="8"/>
  <c r="F75" i="8"/>
  <c r="E75" i="8"/>
  <c r="Z74" i="8"/>
  <c r="T74" i="8"/>
  <c r="R74" i="8"/>
  <c r="Q74" i="8"/>
  <c r="S74" i="8"/>
  <c r="P74" i="8"/>
  <c r="O74" i="8"/>
  <c r="H79" i="7" s="1"/>
  <c r="M74" i="8"/>
  <c r="F79" i="7" s="1"/>
  <c r="L74" i="8"/>
  <c r="N74" i="8"/>
  <c r="G79" i="7" s="1"/>
  <c r="K74" i="8"/>
  <c r="E79" i="7" s="1"/>
  <c r="J74" i="8"/>
  <c r="I74" i="8"/>
  <c r="D79" i="7" s="1"/>
  <c r="H74" i="8"/>
  <c r="G74" i="8"/>
  <c r="F74" i="8"/>
  <c r="E74" i="8"/>
  <c r="Z73" i="8"/>
  <c r="Q73" i="8"/>
  <c r="R73" i="8" s="1"/>
  <c r="S73" i="8"/>
  <c r="P73" i="8"/>
  <c r="L73" i="8"/>
  <c r="N73" i="8"/>
  <c r="G80" i="7" s="1"/>
  <c r="K73" i="8"/>
  <c r="E80" i="7" s="1"/>
  <c r="J73" i="8"/>
  <c r="I73" i="8"/>
  <c r="D80" i="7" s="1"/>
  <c r="H73" i="8"/>
  <c r="G73" i="8"/>
  <c r="F73" i="8"/>
  <c r="E73" i="8"/>
  <c r="Z72" i="8"/>
  <c r="T72" i="8"/>
  <c r="R72" i="8"/>
  <c r="Q72" i="8"/>
  <c r="S72" i="8"/>
  <c r="P72" i="8"/>
  <c r="L72" i="8"/>
  <c r="N72" i="8"/>
  <c r="G81" i="7" s="1"/>
  <c r="K72" i="8"/>
  <c r="E81" i="7" s="1"/>
  <c r="J72" i="8"/>
  <c r="I72" i="8"/>
  <c r="D81" i="7" s="1"/>
  <c r="H72" i="8"/>
  <c r="G72" i="8"/>
  <c r="F72" i="8"/>
  <c r="E72" i="8"/>
  <c r="Z71" i="8"/>
  <c r="T71" i="8"/>
  <c r="Q71" i="8"/>
  <c r="R71" i="8" s="1"/>
  <c r="S71" i="8"/>
  <c r="P71" i="8"/>
  <c r="O71" i="8"/>
  <c r="H84" i="7" s="1"/>
  <c r="M71" i="8"/>
  <c r="F84" i="7" s="1"/>
  <c r="L71" i="8"/>
  <c r="N71" i="8"/>
  <c r="G84" i="7" s="1"/>
  <c r="K71" i="8"/>
  <c r="E84" i="7" s="1"/>
  <c r="J71" i="8"/>
  <c r="I71" i="8"/>
  <c r="D84" i="7" s="1"/>
  <c r="H71" i="8"/>
  <c r="G71" i="8"/>
  <c r="F71" i="8"/>
  <c r="E71" i="8"/>
  <c r="Z70" i="8"/>
  <c r="R70" i="8"/>
  <c r="Q70" i="8"/>
  <c r="T70" i="8" s="1"/>
  <c r="S70" i="8"/>
  <c r="P70" i="8"/>
  <c r="L70" i="8"/>
  <c r="M70" i="8" s="1"/>
  <c r="N70" i="8"/>
  <c r="K70" i="8"/>
  <c r="J70" i="8"/>
  <c r="I70" i="8"/>
  <c r="H70" i="8"/>
  <c r="G70" i="8"/>
  <c r="F70" i="8"/>
  <c r="E70" i="8"/>
  <c r="Z69" i="8"/>
  <c r="T69" i="8"/>
  <c r="R69" i="8"/>
  <c r="Q69" i="8"/>
  <c r="S69" i="8"/>
  <c r="P69" i="8"/>
  <c r="O69" i="8"/>
  <c r="H86" i="7" s="1"/>
  <c r="M69" i="8"/>
  <c r="F86" i="7" s="1"/>
  <c r="L69" i="8"/>
  <c r="N69" i="8"/>
  <c r="G86" i="7" s="1"/>
  <c r="K69" i="8"/>
  <c r="E86" i="7" s="1"/>
  <c r="J69" i="8"/>
  <c r="I69" i="8"/>
  <c r="D86" i="7" s="1"/>
  <c r="H69" i="8"/>
  <c r="G69" i="8"/>
  <c r="F69" i="8"/>
  <c r="E69" i="8"/>
  <c r="Z68" i="8"/>
  <c r="T68" i="8"/>
  <c r="Q68" i="8"/>
  <c r="R68" i="8" s="1"/>
  <c r="S68" i="8"/>
  <c r="P68" i="8"/>
  <c r="L68" i="8"/>
  <c r="M68" i="8" s="1"/>
  <c r="F88" i="7" s="1"/>
  <c r="N68" i="8"/>
  <c r="G88" i="7" s="1"/>
  <c r="K68" i="8"/>
  <c r="E88" i="7" s="1"/>
  <c r="J68" i="8"/>
  <c r="I68" i="8"/>
  <c r="D88" i="7" s="1"/>
  <c r="H68" i="8"/>
  <c r="G68" i="8"/>
  <c r="F68" i="8"/>
  <c r="E68" i="8"/>
  <c r="Z67" i="8"/>
  <c r="Q67" i="8"/>
  <c r="T67" i="8" s="1"/>
  <c r="S67" i="8"/>
  <c r="P67" i="8"/>
  <c r="L67" i="8"/>
  <c r="O67" i="8" s="1"/>
  <c r="H91" i="7" s="1"/>
  <c r="N67" i="8"/>
  <c r="G91" i="7" s="1"/>
  <c r="K67" i="8"/>
  <c r="E91" i="7" s="1"/>
  <c r="J67" i="8"/>
  <c r="I67" i="8"/>
  <c r="H67" i="8"/>
  <c r="G67" i="8"/>
  <c r="F67" i="8"/>
  <c r="E67" i="8"/>
  <c r="Z66" i="8"/>
  <c r="T66" i="8"/>
  <c r="R66" i="8"/>
  <c r="Q66" i="8"/>
  <c r="S66" i="8"/>
  <c r="P66" i="8"/>
  <c r="O66" i="8"/>
  <c r="H92" i="7" s="1"/>
  <c r="M66" i="8"/>
  <c r="F92" i="7" s="1"/>
  <c r="L66" i="8"/>
  <c r="N66" i="8"/>
  <c r="G92" i="7" s="1"/>
  <c r="K66" i="8"/>
  <c r="E92" i="7" s="1"/>
  <c r="J66" i="8"/>
  <c r="I66" i="8"/>
  <c r="D92" i="7" s="1"/>
  <c r="H66" i="8"/>
  <c r="G66" i="8"/>
  <c r="F66" i="8"/>
  <c r="E66" i="8"/>
  <c r="Z65" i="8"/>
  <c r="Q65" i="8"/>
  <c r="R65" i="8" s="1"/>
  <c r="S65" i="8"/>
  <c r="P65" i="8"/>
  <c r="L65" i="8"/>
  <c r="M65" i="8" s="1"/>
  <c r="F96" i="7" s="1"/>
  <c r="N65" i="8"/>
  <c r="G96" i="7" s="1"/>
  <c r="K65" i="8"/>
  <c r="E96" i="7" s="1"/>
  <c r="J65" i="8"/>
  <c r="I65" i="8"/>
  <c r="D96" i="7" s="1"/>
  <c r="H65" i="8"/>
  <c r="G65" i="8"/>
  <c r="F65" i="8"/>
  <c r="E65" i="8"/>
  <c r="Z64" i="8"/>
  <c r="S64" i="8"/>
  <c r="T64" i="8" s="1"/>
  <c r="P64" i="8"/>
  <c r="R64" i="8" s="1"/>
  <c r="O64" i="8"/>
  <c r="H83" i="7" s="1"/>
  <c r="N64" i="8"/>
  <c r="G83" i="7" s="1"/>
  <c r="M64" i="8"/>
  <c r="F83" i="7" s="1"/>
  <c r="K64" i="8"/>
  <c r="E83" i="7" s="1"/>
  <c r="I64" i="8"/>
  <c r="D83" i="7" s="1"/>
  <c r="H64" i="8"/>
  <c r="G64" i="8"/>
  <c r="F64" i="8"/>
  <c r="E64" i="8"/>
  <c r="D64" i="8"/>
  <c r="A64" i="8"/>
  <c r="Z63" i="8"/>
  <c r="S63" i="8"/>
  <c r="T63" i="8" s="1"/>
  <c r="P63" i="8"/>
  <c r="R63" i="8" s="1"/>
  <c r="O63" i="8"/>
  <c r="H87" i="7" s="1"/>
  <c r="N63" i="8"/>
  <c r="G87" i="7" s="1"/>
  <c r="M63" i="8"/>
  <c r="F87" i="7" s="1"/>
  <c r="K63" i="8"/>
  <c r="E87" i="7" s="1"/>
  <c r="I63" i="8"/>
  <c r="D87" i="7" s="1"/>
  <c r="H63" i="8"/>
  <c r="G63" i="8"/>
  <c r="F63" i="8"/>
  <c r="E63" i="8"/>
  <c r="D63" i="8"/>
  <c r="A63" i="8"/>
  <c r="Z62" i="8"/>
  <c r="S62" i="8"/>
  <c r="T62" i="8" s="1"/>
  <c r="P62" i="8"/>
  <c r="R62" i="8" s="1"/>
  <c r="O62" i="8"/>
  <c r="H90" i="7" s="1"/>
  <c r="N62" i="8"/>
  <c r="G90" i="7" s="1"/>
  <c r="M62" i="8"/>
  <c r="F90" i="7" s="1"/>
  <c r="K62" i="8"/>
  <c r="E90" i="7" s="1"/>
  <c r="I62" i="8"/>
  <c r="D90" i="7" s="1"/>
  <c r="H62" i="8"/>
  <c r="G62" i="8"/>
  <c r="F62" i="8"/>
  <c r="E62" i="8"/>
  <c r="D62" i="8"/>
  <c r="A62" i="8"/>
  <c r="Z61" i="8"/>
  <c r="S61" i="8"/>
  <c r="T61" i="8" s="1"/>
  <c r="P61" i="8"/>
  <c r="R61" i="8" s="1"/>
  <c r="O61" i="8"/>
  <c r="H89" i="7" s="1"/>
  <c r="N61" i="8"/>
  <c r="G89" i="7" s="1"/>
  <c r="M61" i="8"/>
  <c r="F89" i="7" s="1"/>
  <c r="K61" i="8"/>
  <c r="E89" i="7" s="1"/>
  <c r="I61" i="8"/>
  <c r="D89" i="7" s="1"/>
  <c r="H61" i="8"/>
  <c r="G61" i="8"/>
  <c r="F61" i="8"/>
  <c r="E61" i="8"/>
  <c r="D61" i="8"/>
  <c r="A61" i="8"/>
  <c r="Z60" i="8"/>
  <c r="T60" i="8"/>
  <c r="R60" i="8"/>
  <c r="Q60" i="8"/>
  <c r="S60" i="8"/>
  <c r="P60" i="8"/>
  <c r="L60" i="8"/>
  <c r="O60" i="8" s="1"/>
  <c r="H54" i="7" s="1"/>
  <c r="N60" i="8"/>
  <c r="G54" i="7" s="1"/>
  <c r="K60" i="8"/>
  <c r="E54" i="7" s="1"/>
  <c r="J60" i="8"/>
  <c r="I60" i="8"/>
  <c r="D54" i="7" s="1"/>
  <c r="H60" i="8"/>
  <c r="G60" i="8"/>
  <c r="F60" i="8"/>
  <c r="E60" i="8"/>
  <c r="Z59" i="8"/>
  <c r="T59" i="8"/>
  <c r="Q59" i="8"/>
  <c r="R59" i="8" s="1"/>
  <c r="S59" i="8"/>
  <c r="P59" i="8"/>
  <c r="O59" i="8"/>
  <c r="H58" i="7" s="1"/>
  <c r="M59" i="8"/>
  <c r="F58" i="7" s="1"/>
  <c r="L59" i="8"/>
  <c r="N59" i="8"/>
  <c r="G58" i="7" s="1"/>
  <c r="K59" i="8"/>
  <c r="E58" i="7" s="1"/>
  <c r="J59" i="8"/>
  <c r="I59" i="8"/>
  <c r="D58" i="7" s="1"/>
  <c r="H59" i="8"/>
  <c r="G59" i="8"/>
  <c r="F59" i="8"/>
  <c r="E59" i="8"/>
  <c r="Z58" i="8"/>
  <c r="R58" i="8"/>
  <c r="Q58" i="8"/>
  <c r="T58" i="8" s="1"/>
  <c r="S58" i="8"/>
  <c r="P58" i="8"/>
  <c r="O58" i="8"/>
  <c r="H63" i="7" s="1"/>
  <c r="L58" i="8"/>
  <c r="M58" i="8" s="1"/>
  <c r="N58" i="8"/>
  <c r="G63" i="7" s="1"/>
  <c r="K58" i="8"/>
  <c r="E63" i="7" s="1"/>
  <c r="J58" i="8"/>
  <c r="I58" i="8"/>
  <c r="H58" i="8"/>
  <c r="G58" i="8"/>
  <c r="F58" i="8"/>
  <c r="E58" i="8"/>
  <c r="Z57" i="8"/>
  <c r="T57" i="8"/>
  <c r="R57" i="8"/>
  <c r="Q57" i="8"/>
  <c r="S57" i="8"/>
  <c r="P57" i="8"/>
  <c r="O57" i="8"/>
  <c r="H64" i="7" s="1"/>
  <c r="M57" i="8"/>
  <c r="F64" i="7" s="1"/>
  <c r="L57" i="8"/>
  <c r="N57" i="8"/>
  <c r="G64" i="7" s="1"/>
  <c r="K57" i="8"/>
  <c r="E64" i="7" s="1"/>
  <c r="J57" i="8"/>
  <c r="I57" i="8"/>
  <c r="D64" i="7" s="1"/>
  <c r="H57" i="8"/>
  <c r="G57" i="8"/>
  <c r="F57" i="8"/>
  <c r="E57" i="8"/>
  <c r="Z56" i="8"/>
  <c r="T56" i="8"/>
  <c r="Q56" i="8"/>
  <c r="R56" i="8" s="1"/>
  <c r="S56" i="8"/>
  <c r="P56" i="8"/>
  <c r="O56" i="8"/>
  <c r="H65" i="7" s="1"/>
  <c r="L56" i="8"/>
  <c r="M56" i="8" s="1"/>
  <c r="N56" i="8"/>
  <c r="G65" i="7" s="1"/>
  <c r="K56" i="8"/>
  <c r="E65" i="7" s="1"/>
  <c r="J56" i="8"/>
  <c r="I56" i="8"/>
  <c r="D65" i="7" s="1"/>
  <c r="H56" i="8"/>
  <c r="G56" i="8"/>
  <c r="F56" i="8"/>
  <c r="E56" i="8"/>
  <c r="Z55" i="8"/>
  <c r="Q55" i="8"/>
  <c r="S55" i="8"/>
  <c r="P55" i="8"/>
  <c r="L55" i="8"/>
  <c r="O55" i="8" s="1"/>
  <c r="N55" i="8"/>
  <c r="G70" i="7" s="1"/>
  <c r="K55" i="8"/>
  <c r="E70" i="7" s="1"/>
  <c r="J55" i="8"/>
  <c r="I55" i="8"/>
  <c r="H55" i="8"/>
  <c r="G55" i="8"/>
  <c r="F55" i="8"/>
  <c r="E55" i="8"/>
  <c r="Z54" i="8"/>
  <c r="T54" i="8"/>
  <c r="R54" i="8"/>
  <c r="Q54" i="8"/>
  <c r="S54" i="8"/>
  <c r="P54" i="8"/>
  <c r="O54" i="8"/>
  <c r="M54" i="8"/>
  <c r="F71" i="7" s="1"/>
  <c r="L54" i="8"/>
  <c r="N54" i="8"/>
  <c r="G71" i="7" s="1"/>
  <c r="K54" i="8"/>
  <c r="E71" i="7" s="1"/>
  <c r="J54" i="8"/>
  <c r="I54" i="8"/>
  <c r="D71" i="7" s="1"/>
  <c r="H54" i="8"/>
  <c r="G54" i="8"/>
  <c r="F54" i="8"/>
  <c r="E54" i="8"/>
  <c r="Z53" i="8"/>
  <c r="Q53" i="8"/>
  <c r="S53" i="8"/>
  <c r="P53" i="8"/>
  <c r="L53" i="8"/>
  <c r="M53" i="8" s="1"/>
  <c r="F72" i="7" s="1"/>
  <c r="N53" i="8"/>
  <c r="G72" i="7" s="1"/>
  <c r="K53" i="8"/>
  <c r="E72" i="7" s="1"/>
  <c r="J53" i="8"/>
  <c r="I53" i="8"/>
  <c r="D72" i="7" s="1"/>
  <c r="H53" i="8"/>
  <c r="G53" i="8"/>
  <c r="F53" i="8"/>
  <c r="E53" i="8"/>
  <c r="Z52" i="8"/>
  <c r="T52" i="8"/>
  <c r="R52" i="8"/>
  <c r="Q52" i="8"/>
  <c r="S52" i="8"/>
  <c r="P52" i="8"/>
  <c r="L52" i="8"/>
  <c r="O52" i="8" s="1"/>
  <c r="H74" i="7" s="1"/>
  <c r="N52" i="8"/>
  <c r="G74" i="7" s="1"/>
  <c r="K52" i="8"/>
  <c r="E74" i="7" s="1"/>
  <c r="J52" i="8"/>
  <c r="I52" i="8"/>
  <c r="D74" i="7" s="1"/>
  <c r="H52" i="8"/>
  <c r="G52" i="8"/>
  <c r="F52" i="8"/>
  <c r="E52" i="8"/>
  <c r="Z51" i="8"/>
  <c r="T51" i="8"/>
  <c r="Q51" i="8"/>
  <c r="R51" i="8" s="1"/>
  <c r="S51" i="8"/>
  <c r="P51" i="8"/>
  <c r="O51" i="8"/>
  <c r="M51" i="8"/>
  <c r="L51" i="8"/>
  <c r="N51" i="8"/>
  <c r="G78" i="7" s="1"/>
  <c r="K51" i="8"/>
  <c r="E78" i="7" s="1"/>
  <c r="J51" i="8"/>
  <c r="I51" i="8"/>
  <c r="D78" i="7" s="1"/>
  <c r="H51" i="8"/>
  <c r="G51" i="8"/>
  <c r="F51" i="8"/>
  <c r="E51" i="8"/>
  <c r="Z50" i="8"/>
  <c r="R50" i="8"/>
  <c r="Q50" i="8"/>
  <c r="T50" i="8" s="1"/>
  <c r="S50" i="8"/>
  <c r="P50" i="8"/>
  <c r="O50" i="8"/>
  <c r="H82" i="7" s="1"/>
  <c r="L50" i="8"/>
  <c r="M50" i="8" s="1"/>
  <c r="F82" i="7" s="1"/>
  <c r="N50" i="8"/>
  <c r="G82" i="7" s="1"/>
  <c r="K50" i="8"/>
  <c r="E82" i="7" s="1"/>
  <c r="J50" i="8"/>
  <c r="I50" i="8"/>
  <c r="D82" i="7" s="1"/>
  <c r="H50" i="8"/>
  <c r="G50" i="8"/>
  <c r="F50" i="8"/>
  <c r="E50" i="8"/>
  <c r="Z49" i="8"/>
  <c r="T49" i="8"/>
  <c r="R49" i="8"/>
  <c r="Q49" i="8"/>
  <c r="S49" i="8"/>
  <c r="P49" i="8"/>
  <c r="O49" i="8"/>
  <c r="M49" i="8"/>
  <c r="F85" i="7" s="1"/>
  <c r="L49" i="8"/>
  <c r="N49" i="8"/>
  <c r="G85" i="7" s="1"/>
  <c r="K49" i="8"/>
  <c r="E85" i="7" s="1"/>
  <c r="J49" i="8"/>
  <c r="I49" i="8"/>
  <c r="D85" i="7" s="1"/>
  <c r="H49" i="8"/>
  <c r="G49" i="8"/>
  <c r="F49" i="8"/>
  <c r="E49" i="8"/>
  <c r="Z48" i="8"/>
  <c r="T48" i="8"/>
  <c r="Q48" i="8"/>
  <c r="R48" i="8" s="1"/>
  <c r="S48" i="8"/>
  <c r="P48" i="8"/>
  <c r="O48" i="8"/>
  <c r="H97" i="7" s="1"/>
  <c r="L48" i="8"/>
  <c r="M48" i="8" s="1"/>
  <c r="F97" i="7" s="1"/>
  <c r="N48" i="8"/>
  <c r="G97" i="7" s="1"/>
  <c r="K48" i="8"/>
  <c r="E97" i="7" s="1"/>
  <c r="J48" i="8"/>
  <c r="I48" i="8"/>
  <c r="D97" i="7" s="1"/>
  <c r="H48" i="8"/>
  <c r="G48" i="8"/>
  <c r="F48" i="8"/>
  <c r="E48" i="8"/>
  <c r="Z47" i="8"/>
  <c r="S47" i="8"/>
  <c r="T47" i="8" s="1"/>
  <c r="R47" i="8"/>
  <c r="P47" i="8"/>
  <c r="O47" i="8"/>
  <c r="H95" i="7" s="1"/>
  <c r="N47" i="8"/>
  <c r="G95" i="7" s="1"/>
  <c r="M47" i="8"/>
  <c r="F95" i="7" s="1"/>
  <c r="K47" i="8"/>
  <c r="E95" i="7" s="1"/>
  <c r="I47" i="8"/>
  <c r="D95" i="7" s="1"/>
  <c r="H47" i="8"/>
  <c r="G47" i="8"/>
  <c r="F47" i="8"/>
  <c r="E47" i="8"/>
  <c r="D47" i="8"/>
  <c r="A47" i="8"/>
  <c r="Z46" i="8"/>
  <c r="S46" i="8"/>
  <c r="T46" i="8" s="1"/>
  <c r="R46" i="8"/>
  <c r="P46" i="8"/>
  <c r="O46" i="8"/>
  <c r="H93" i="7" s="1"/>
  <c r="N46" i="8"/>
  <c r="G93" i="7" s="1"/>
  <c r="K46" i="8"/>
  <c r="E93" i="7" s="1"/>
  <c r="I46" i="8"/>
  <c r="D93" i="7" s="1"/>
  <c r="H46" i="8"/>
  <c r="G46" i="8"/>
  <c r="F46" i="8"/>
  <c r="E46" i="8"/>
  <c r="D46" i="8"/>
  <c r="A46" i="8"/>
  <c r="Z45" i="8"/>
  <c r="Q45" i="8"/>
  <c r="T45" i="8" s="1"/>
  <c r="S45" i="8"/>
  <c r="P45" i="8"/>
  <c r="L45" i="8"/>
  <c r="N45" i="8"/>
  <c r="G52" i="7" s="1"/>
  <c r="K45" i="8"/>
  <c r="E52" i="7" s="1"/>
  <c r="J45" i="8"/>
  <c r="I45" i="8"/>
  <c r="D52" i="7" s="1"/>
  <c r="H45" i="8"/>
  <c r="G45" i="8"/>
  <c r="F45" i="8"/>
  <c r="E45" i="8"/>
  <c r="Z44" i="8"/>
  <c r="T44" i="8"/>
  <c r="R44" i="8"/>
  <c r="Q44" i="8"/>
  <c r="S44" i="8"/>
  <c r="P44" i="8"/>
  <c r="O44" i="8"/>
  <c r="H68" i="7" s="1"/>
  <c r="M44" i="8"/>
  <c r="F68" i="7" s="1"/>
  <c r="L44" i="8"/>
  <c r="N44" i="8"/>
  <c r="G68" i="7" s="1"/>
  <c r="K44" i="8"/>
  <c r="E68" i="7" s="1"/>
  <c r="J44" i="8"/>
  <c r="I44" i="8"/>
  <c r="D68" i="7" s="1"/>
  <c r="H44" i="8"/>
  <c r="G44" i="8"/>
  <c r="F44" i="8"/>
  <c r="E44" i="8"/>
  <c r="Z43" i="8"/>
  <c r="Q43" i="8"/>
  <c r="R43" i="8" s="1"/>
  <c r="S43" i="8"/>
  <c r="P43" i="8"/>
  <c r="L43" i="8"/>
  <c r="N43" i="8"/>
  <c r="G69" i="7" s="1"/>
  <c r="K43" i="8"/>
  <c r="E69" i="7" s="1"/>
  <c r="J43" i="8"/>
  <c r="I43" i="8"/>
  <c r="D69" i="7" s="1"/>
  <c r="H43" i="8"/>
  <c r="G43" i="8"/>
  <c r="F43" i="8"/>
  <c r="E43" i="8"/>
  <c r="Z42" i="8"/>
  <c r="T42" i="8"/>
  <c r="R42" i="8"/>
  <c r="Q42" i="8"/>
  <c r="S42" i="8"/>
  <c r="P42" i="8"/>
  <c r="L42" i="8"/>
  <c r="N42" i="8"/>
  <c r="G73" i="7" s="1"/>
  <c r="K42" i="8"/>
  <c r="E73" i="7" s="1"/>
  <c r="J42" i="8"/>
  <c r="I42" i="8"/>
  <c r="D73" i="7" s="1"/>
  <c r="H42" i="8"/>
  <c r="G42" i="8"/>
  <c r="F42" i="8"/>
  <c r="E42" i="8"/>
  <c r="Z41" i="8"/>
  <c r="T41" i="8"/>
  <c r="Q41" i="8"/>
  <c r="R41" i="8" s="1"/>
  <c r="S41" i="8"/>
  <c r="P41" i="8"/>
  <c r="L41" i="8"/>
  <c r="N41" i="8"/>
  <c r="G94" i="7" s="1"/>
  <c r="K41" i="8"/>
  <c r="E94" i="7" s="1"/>
  <c r="J41" i="8"/>
  <c r="I41" i="8"/>
  <c r="D94" i="7" s="1"/>
  <c r="H41" i="8"/>
  <c r="G41" i="8"/>
  <c r="F41" i="8"/>
  <c r="E41" i="8"/>
  <c r="G40" i="8"/>
  <c r="A40" i="8"/>
  <c r="Z39" i="8"/>
  <c r="T39" i="8"/>
  <c r="Q39" i="8"/>
  <c r="R39" i="8" s="1"/>
  <c r="S39" i="8"/>
  <c r="P39" i="8"/>
  <c r="O39" i="8"/>
  <c r="H32" i="7" s="1"/>
  <c r="G33" i="7" s="1"/>
  <c r="L39" i="8"/>
  <c r="M39" i="8" s="1"/>
  <c r="F32" i="7" s="1"/>
  <c r="E33" i="7" s="1"/>
  <c r="N39" i="8"/>
  <c r="G32" i="7" s="1"/>
  <c r="K39" i="8"/>
  <c r="E32" i="7" s="1"/>
  <c r="J39" i="8"/>
  <c r="I39" i="8"/>
  <c r="D32" i="7" s="1"/>
  <c r="H39" i="8"/>
  <c r="G39" i="8"/>
  <c r="F39" i="8"/>
  <c r="E39" i="8"/>
  <c r="Z38" i="8"/>
  <c r="Q38" i="8"/>
  <c r="T38" i="8" s="1"/>
  <c r="S38" i="8"/>
  <c r="P38" i="8"/>
  <c r="L38" i="8"/>
  <c r="N38" i="8"/>
  <c r="G35" i="7" s="1"/>
  <c r="K38" i="8"/>
  <c r="E35" i="7" s="1"/>
  <c r="J38" i="8"/>
  <c r="I38" i="8"/>
  <c r="D35" i="7" s="1"/>
  <c r="H38" i="8"/>
  <c r="G38" i="8"/>
  <c r="F38" i="8"/>
  <c r="E38" i="8"/>
  <c r="Z37" i="8"/>
  <c r="Q37" i="8"/>
  <c r="R37" i="8" s="1"/>
  <c r="S37" i="8"/>
  <c r="P37" i="8"/>
  <c r="O37" i="8"/>
  <c r="H36" i="7" s="1"/>
  <c r="M37" i="8"/>
  <c r="F36" i="7" s="1"/>
  <c r="L37" i="8"/>
  <c r="N37" i="8"/>
  <c r="G36" i="7" s="1"/>
  <c r="K37" i="8"/>
  <c r="E36" i="7" s="1"/>
  <c r="J37" i="8"/>
  <c r="I37" i="8"/>
  <c r="D36" i="7" s="1"/>
  <c r="H37" i="8"/>
  <c r="G37" i="8"/>
  <c r="F37" i="8"/>
  <c r="E37" i="8"/>
  <c r="Z36" i="8"/>
  <c r="R36" i="8"/>
  <c r="Q36" i="8"/>
  <c r="T36" i="8" s="1"/>
  <c r="S36" i="8"/>
  <c r="P36" i="8"/>
  <c r="O36" i="8"/>
  <c r="H37" i="7" s="1"/>
  <c r="L36" i="8"/>
  <c r="M36" i="8" s="1"/>
  <c r="F37" i="7" s="1"/>
  <c r="N36" i="8"/>
  <c r="G37" i="7" s="1"/>
  <c r="K36" i="8"/>
  <c r="E37" i="7" s="1"/>
  <c r="J36" i="8"/>
  <c r="I36" i="8"/>
  <c r="D37" i="7" s="1"/>
  <c r="H36" i="8"/>
  <c r="G36" i="8"/>
  <c r="F36" i="8"/>
  <c r="E36" i="8"/>
  <c r="Z35" i="8"/>
  <c r="T35" i="8"/>
  <c r="R35" i="8"/>
  <c r="Q35" i="8"/>
  <c r="S35" i="8"/>
  <c r="P35" i="8"/>
  <c r="M35" i="8"/>
  <c r="F38" i="7" s="1"/>
  <c r="L35" i="8"/>
  <c r="O35" i="8" s="1"/>
  <c r="H38" i="7" s="1"/>
  <c r="N35" i="8"/>
  <c r="G38" i="7" s="1"/>
  <c r="K35" i="8"/>
  <c r="E38" i="7" s="1"/>
  <c r="J35" i="8"/>
  <c r="I35" i="8"/>
  <c r="D38" i="7" s="1"/>
  <c r="H35" i="8"/>
  <c r="G35" i="8"/>
  <c r="F35" i="8"/>
  <c r="E35" i="8"/>
  <c r="Z34" i="8"/>
  <c r="Q34" i="8"/>
  <c r="R34" i="8" s="1"/>
  <c r="S34" i="8"/>
  <c r="P34" i="8"/>
  <c r="O34" i="8"/>
  <c r="H41" i="7" s="1"/>
  <c r="M34" i="8"/>
  <c r="F41" i="7" s="1"/>
  <c r="L34" i="8"/>
  <c r="N34" i="8"/>
  <c r="G41" i="7" s="1"/>
  <c r="K34" i="8"/>
  <c r="E41" i="7" s="1"/>
  <c r="J34" i="8"/>
  <c r="I34" i="8"/>
  <c r="D41" i="7" s="1"/>
  <c r="H34" i="8"/>
  <c r="G34" i="8"/>
  <c r="F34" i="8"/>
  <c r="E34" i="8"/>
  <c r="Z33" i="8"/>
  <c r="Q33" i="8"/>
  <c r="T33" i="8" s="1"/>
  <c r="S33" i="8"/>
  <c r="P33" i="8"/>
  <c r="O33" i="8"/>
  <c r="H42" i="7" s="1"/>
  <c r="M33" i="8"/>
  <c r="F42" i="7" s="1"/>
  <c r="L33" i="8"/>
  <c r="N33" i="8"/>
  <c r="G42" i="7" s="1"/>
  <c r="K33" i="8"/>
  <c r="E42" i="7" s="1"/>
  <c r="J33" i="8"/>
  <c r="I33" i="8"/>
  <c r="D42" i="7" s="1"/>
  <c r="H33" i="8"/>
  <c r="G33" i="8"/>
  <c r="F33" i="8"/>
  <c r="E33" i="8"/>
  <c r="Z32" i="8"/>
  <c r="T32" i="8"/>
  <c r="R32" i="8"/>
  <c r="Q32" i="8"/>
  <c r="S32" i="8"/>
  <c r="P32" i="8"/>
  <c r="O32" i="8"/>
  <c r="H43" i="7" s="1"/>
  <c r="M32" i="8"/>
  <c r="F43" i="7" s="1"/>
  <c r="L32" i="8"/>
  <c r="N32" i="8"/>
  <c r="G43" i="7" s="1"/>
  <c r="K32" i="8"/>
  <c r="E43" i="7" s="1"/>
  <c r="J32" i="8"/>
  <c r="I32" i="8"/>
  <c r="D43" i="7" s="1"/>
  <c r="H32" i="8"/>
  <c r="G32" i="8"/>
  <c r="F32" i="8"/>
  <c r="E32" i="8"/>
  <c r="Z31" i="8"/>
  <c r="T31" i="8"/>
  <c r="Q31" i="8"/>
  <c r="R31" i="8" s="1"/>
  <c r="S31" i="8"/>
  <c r="P31" i="8"/>
  <c r="O31" i="8"/>
  <c r="H44" i="7" s="1"/>
  <c r="L31" i="8"/>
  <c r="M31" i="8" s="1"/>
  <c r="F44" i="7" s="1"/>
  <c r="N31" i="8"/>
  <c r="G44" i="7" s="1"/>
  <c r="K31" i="8"/>
  <c r="E44" i="7" s="1"/>
  <c r="J31" i="8"/>
  <c r="I31" i="8"/>
  <c r="D44" i="7" s="1"/>
  <c r="H31" i="8"/>
  <c r="G31" i="8"/>
  <c r="F31" i="8"/>
  <c r="E31" i="8"/>
  <c r="Z30" i="8"/>
  <c r="Q30" i="8"/>
  <c r="T30" i="8" s="1"/>
  <c r="S30" i="8"/>
  <c r="P30" i="8"/>
  <c r="L30" i="8"/>
  <c r="N30" i="8"/>
  <c r="G45" i="7" s="1"/>
  <c r="K30" i="8"/>
  <c r="E45" i="7" s="1"/>
  <c r="J30" i="8"/>
  <c r="I30" i="8"/>
  <c r="D45" i="7" s="1"/>
  <c r="H30" i="8"/>
  <c r="G30" i="8"/>
  <c r="F30" i="8"/>
  <c r="E30" i="8"/>
  <c r="Z29" i="8"/>
  <c r="Q29" i="8"/>
  <c r="R29" i="8" s="1"/>
  <c r="S29" i="8"/>
  <c r="P29" i="8"/>
  <c r="O29" i="8"/>
  <c r="H46" i="7" s="1"/>
  <c r="M29" i="8"/>
  <c r="F46" i="7" s="1"/>
  <c r="L29" i="8"/>
  <c r="N29" i="8"/>
  <c r="G46" i="7" s="1"/>
  <c r="K29" i="8"/>
  <c r="E46" i="7" s="1"/>
  <c r="J29" i="8"/>
  <c r="I29" i="8"/>
  <c r="D46" i="7" s="1"/>
  <c r="H29" i="8"/>
  <c r="G29" i="8"/>
  <c r="F29" i="8"/>
  <c r="E29" i="8"/>
  <c r="Z28" i="8"/>
  <c r="R28" i="8"/>
  <c r="Q28" i="8"/>
  <c r="T28" i="8" s="1"/>
  <c r="S28" i="8"/>
  <c r="P28" i="8"/>
  <c r="O28" i="8"/>
  <c r="H47" i="7" s="1"/>
  <c r="L28" i="8"/>
  <c r="M28" i="8" s="1"/>
  <c r="F47" i="7" s="1"/>
  <c r="N28" i="8"/>
  <c r="G47" i="7" s="1"/>
  <c r="K28" i="8"/>
  <c r="E47" i="7" s="1"/>
  <c r="J28" i="8"/>
  <c r="I28" i="8"/>
  <c r="D47" i="7" s="1"/>
  <c r="H28" i="8"/>
  <c r="G28" i="8"/>
  <c r="F28" i="8"/>
  <c r="E28" i="8"/>
  <c r="Z27" i="8"/>
  <c r="T27" i="8"/>
  <c r="R27" i="8"/>
  <c r="Q27" i="8"/>
  <c r="S27" i="8"/>
  <c r="P27" i="8"/>
  <c r="M27" i="8"/>
  <c r="F48" i="7" s="1"/>
  <c r="L27" i="8"/>
  <c r="O27" i="8" s="1"/>
  <c r="H48" i="7" s="1"/>
  <c r="N27" i="8"/>
  <c r="G48" i="7" s="1"/>
  <c r="K27" i="8"/>
  <c r="E48" i="7" s="1"/>
  <c r="J27" i="8"/>
  <c r="I27" i="8"/>
  <c r="D48" i="7" s="1"/>
  <c r="H27" i="8"/>
  <c r="G27" i="8"/>
  <c r="F27" i="8"/>
  <c r="E27" i="8"/>
  <c r="G26" i="8"/>
  <c r="A26" i="8"/>
  <c r="Z25" i="8"/>
  <c r="T25" i="8"/>
  <c r="R25" i="8"/>
  <c r="Q25" i="8"/>
  <c r="S25" i="8"/>
  <c r="P25" i="8"/>
  <c r="O25" i="8"/>
  <c r="H12" i="7" s="1"/>
  <c r="M25" i="8"/>
  <c r="F12" i="7" s="1"/>
  <c r="L25" i="8"/>
  <c r="N25" i="8"/>
  <c r="G12" i="7" s="1"/>
  <c r="K25" i="8"/>
  <c r="E12" i="7" s="1"/>
  <c r="J25" i="8"/>
  <c r="I25" i="8"/>
  <c r="D12" i="7" s="1"/>
  <c r="H25" i="8"/>
  <c r="G25" i="8"/>
  <c r="F25" i="8"/>
  <c r="E25" i="8"/>
  <c r="Z24" i="8"/>
  <c r="Q24" i="8"/>
  <c r="R24" i="8" s="1"/>
  <c r="S24" i="8"/>
  <c r="P24" i="8"/>
  <c r="O24" i="8"/>
  <c r="L24" i="8"/>
  <c r="M24" i="8" s="1"/>
  <c r="N24" i="8"/>
  <c r="K24" i="8"/>
  <c r="J24" i="8"/>
  <c r="I24" i="8"/>
  <c r="H24" i="8"/>
  <c r="G24" i="8"/>
  <c r="F24" i="8"/>
  <c r="E24" i="8"/>
  <c r="Z23" i="8"/>
  <c r="R23" i="8"/>
  <c r="Q23" i="8"/>
  <c r="T23" i="8" s="1"/>
  <c r="S23" i="8"/>
  <c r="P23" i="8"/>
  <c r="L23" i="8"/>
  <c r="O23" i="8" s="1"/>
  <c r="H20" i="7" s="1"/>
  <c r="N23" i="8"/>
  <c r="G20" i="7" s="1"/>
  <c r="K23" i="8"/>
  <c r="E20" i="7" s="1"/>
  <c r="J23" i="8"/>
  <c r="I23" i="8"/>
  <c r="D20" i="7" s="1"/>
  <c r="H23" i="8"/>
  <c r="G23" i="8"/>
  <c r="F23" i="8"/>
  <c r="E23" i="8"/>
  <c r="Z22" i="8"/>
  <c r="T22" i="8"/>
  <c r="Q22" i="8"/>
  <c r="R22" i="8" s="1"/>
  <c r="S22" i="8"/>
  <c r="P22" i="8"/>
  <c r="O22" i="8"/>
  <c r="H21" i="7" s="1"/>
  <c r="M22" i="8"/>
  <c r="F21" i="7" s="1"/>
  <c r="L22" i="8"/>
  <c r="N22" i="8"/>
  <c r="G21" i="7" s="1"/>
  <c r="K22" i="8"/>
  <c r="E21" i="7" s="1"/>
  <c r="J22" i="8"/>
  <c r="I22" i="8"/>
  <c r="D21" i="7" s="1"/>
  <c r="H22" i="8"/>
  <c r="G22" i="8"/>
  <c r="F22" i="8"/>
  <c r="E22" i="8"/>
  <c r="Z21" i="8"/>
  <c r="Q21" i="8"/>
  <c r="T21" i="8" s="1"/>
  <c r="S21" i="8"/>
  <c r="P21" i="8"/>
  <c r="O21" i="8"/>
  <c r="H22" i="7" s="1"/>
  <c r="L21" i="8"/>
  <c r="M21" i="8" s="1"/>
  <c r="F22" i="7" s="1"/>
  <c r="N21" i="8"/>
  <c r="G22" i="7" s="1"/>
  <c r="K21" i="8"/>
  <c r="E22" i="7" s="1"/>
  <c r="J21" i="8"/>
  <c r="I21" i="8"/>
  <c r="D22" i="7" s="1"/>
  <c r="H21" i="8"/>
  <c r="G21" i="8"/>
  <c r="F21" i="8"/>
  <c r="E21" i="8"/>
  <c r="Z20" i="8"/>
  <c r="T20" i="8"/>
  <c r="R20" i="8"/>
  <c r="Q20" i="8"/>
  <c r="S20" i="8"/>
  <c r="P20" i="8"/>
  <c r="M20" i="8"/>
  <c r="F26" i="7" s="1"/>
  <c r="L20" i="8"/>
  <c r="O20" i="8" s="1"/>
  <c r="H26" i="7" s="1"/>
  <c r="N20" i="8"/>
  <c r="G26" i="7" s="1"/>
  <c r="K20" i="8"/>
  <c r="E26" i="7" s="1"/>
  <c r="J20" i="8"/>
  <c r="I20" i="8"/>
  <c r="D26" i="7" s="1"/>
  <c r="H20" i="8"/>
  <c r="G20" i="8"/>
  <c r="F20" i="8"/>
  <c r="E20" i="8"/>
  <c r="Z19" i="8"/>
  <c r="Q19" i="8"/>
  <c r="R19" i="8" s="1"/>
  <c r="S19" i="8"/>
  <c r="P19" i="8"/>
  <c r="O19" i="8"/>
  <c r="H14" i="7" s="1"/>
  <c r="M19" i="8"/>
  <c r="F14" i="7" s="1"/>
  <c r="L19" i="8"/>
  <c r="N19" i="8"/>
  <c r="G14" i="7" s="1"/>
  <c r="K19" i="8"/>
  <c r="E14" i="7" s="1"/>
  <c r="J19" i="8"/>
  <c r="I19" i="8"/>
  <c r="D14" i="7" s="1"/>
  <c r="H19" i="8"/>
  <c r="G19" i="8"/>
  <c r="F19" i="8"/>
  <c r="E19" i="8"/>
  <c r="Z18" i="8"/>
  <c r="Q18" i="8"/>
  <c r="T18" i="8" s="1"/>
  <c r="S18" i="8"/>
  <c r="P18" i="8"/>
  <c r="O18" i="8"/>
  <c r="M18" i="8"/>
  <c r="F18" i="7" s="1"/>
  <c r="L18" i="8"/>
  <c r="N18" i="8"/>
  <c r="G18" i="7" s="1"/>
  <c r="K18" i="8"/>
  <c r="E18" i="7" s="1"/>
  <c r="J18" i="8"/>
  <c r="I18" i="8"/>
  <c r="H18" i="8"/>
  <c r="G18" i="8"/>
  <c r="F18" i="8"/>
  <c r="E18" i="8"/>
  <c r="Z17" i="8"/>
  <c r="T17" i="8"/>
  <c r="R17" i="8"/>
  <c r="Q17" i="8"/>
  <c r="S17" i="8"/>
  <c r="P17" i="8"/>
  <c r="O17" i="8"/>
  <c r="H19" i="7" s="1"/>
  <c r="M17" i="8"/>
  <c r="F19" i="7" s="1"/>
  <c r="L17" i="8"/>
  <c r="N17" i="8"/>
  <c r="G19" i="7" s="1"/>
  <c r="K17" i="8"/>
  <c r="E19" i="7" s="1"/>
  <c r="J17" i="8"/>
  <c r="I17" i="8"/>
  <c r="D19" i="7" s="1"/>
  <c r="H17" i="8"/>
  <c r="G17" i="8"/>
  <c r="F17" i="8"/>
  <c r="E17" i="8"/>
  <c r="Z16" i="8"/>
  <c r="Q16" i="8"/>
  <c r="R16" i="8" s="1"/>
  <c r="S16" i="8"/>
  <c r="P16" i="8"/>
  <c r="O16" i="8"/>
  <c r="H23" i="7" s="1"/>
  <c r="L16" i="8"/>
  <c r="M16" i="8" s="1"/>
  <c r="F23" i="7" s="1"/>
  <c r="N16" i="8"/>
  <c r="G23" i="7" s="1"/>
  <c r="K16" i="8"/>
  <c r="E23" i="7" s="1"/>
  <c r="J16" i="8"/>
  <c r="I16" i="8"/>
  <c r="D23" i="7" s="1"/>
  <c r="H16" i="8"/>
  <c r="G16" i="8"/>
  <c r="F16" i="8"/>
  <c r="E16" i="8"/>
  <c r="Z15" i="8"/>
  <c r="Q15" i="8"/>
  <c r="T15" i="8" s="1"/>
  <c r="S15" i="8"/>
  <c r="P15" i="8"/>
  <c r="L15" i="8"/>
  <c r="O15" i="8" s="1"/>
  <c r="N15" i="8"/>
  <c r="K15" i="8"/>
  <c r="J15" i="8"/>
  <c r="I15" i="8"/>
  <c r="H15" i="8"/>
  <c r="G15" i="8"/>
  <c r="F15" i="8"/>
  <c r="E15" i="8"/>
  <c r="Z14" i="8"/>
  <c r="T14" i="8"/>
  <c r="Q14" i="8"/>
  <c r="R14" i="8" s="1"/>
  <c r="S14" i="8"/>
  <c r="P14" i="8"/>
  <c r="O14" i="8"/>
  <c r="H13" i="7" s="1"/>
  <c r="M14" i="8"/>
  <c r="F13" i="7" s="1"/>
  <c r="L14" i="8"/>
  <c r="N14" i="8"/>
  <c r="G13" i="7" s="1"/>
  <c r="K14" i="8"/>
  <c r="E13" i="7" s="1"/>
  <c r="J14" i="8"/>
  <c r="I14" i="8"/>
  <c r="D13" i="7" s="1"/>
  <c r="H14" i="8"/>
  <c r="G14" i="8"/>
  <c r="F14" i="8"/>
  <c r="E14" i="8"/>
  <c r="Z13" i="8"/>
  <c r="Q13" i="8"/>
  <c r="T13" i="8" s="1"/>
  <c r="S13" i="8"/>
  <c r="P13" i="8"/>
  <c r="O13" i="8"/>
  <c r="H24" i="7" s="1"/>
  <c r="L13" i="8"/>
  <c r="M13" i="8" s="1"/>
  <c r="F24" i="7" s="1"/>
  <c r="N13" i="8"/>
  <c r="G24" i="7" s="1"/>
  <c r="K13" i="8"/>
  <c r="E24" i="7" s="1"/>
  <c r="J13" i="8"/>
  <c r="I13" i="8"/>
  <c r="D24" i="7" s="1"/>
  <c r="H13" i="8"/>
  <c r="G13" i="8"/>
  <c r="F13" i="8"/>
  <c r="E13" i="8"/>
  <c r="Z12" i="8"/>
  <c r="T12" i="8"/>
  <c r="R12" i="8"/>
  <c r="Q12" i="8"/>
  <c r="S12" i="8"/>
  <c r="P12" i="8"/>
  <c r="M12" i="8"/>
  <c r="F25" i="7" s="1"/>
  <c r="L12" i="8"/>
  <c r="O12" i="8" s="1"/>
  <c r="H25" i="7" s="1"/>
  <c r="N12" i="8"/>
  <c r="G25" i="7" s="1"/>
  <c r="K12" i="8"/>
  <c r="E25" i="7" s="1"/>
  <c r="J12" i="8"/>
  <c r="I12" i="8"/>
  <c r="D25" i="7" s="1"/>
  <c r="H12" i="8"/>
  <c r="G12" i="8"/>
  <c r="F12" i="8"/>
  <c r="E12" i="8"/>
  <c r="Z11" i="8"/>
  <c r="Q11" i="8"/>
  <c r="R11" i="8" s="1"/>
  <c r="S11" i="8"/>
  <c r="P11" i="8"/>
  <c r="O11" i="8"/>
  <c r="M11" i="8"/>
  <c r="L11" i="8"/>
  <c r="N11" i="8"/>
  <c r="G28" i="7" s="1"/>
  <c r="K11" i="8"/>
  <c r="E28" i="7" s="1"/>
  <c r="J11" i="8"/>
  <c r="I11" i="8"/>
  <c r="D28" i="7" s="1"/>
  <c r="H11" i="8"/>
  <c r="G11" i="8"/>
  <c r="F11" i="8"/>
  <c r="E11" i="8"/>
  <c r="Z10" i="8"/>
  <c r="Q10" i="8"/>
  <c r="T10" i="8" s="1"/>
  <c r="S10" i="8"/>
  <c r="P10" i="8"/>
  <c r="O10" i="8"/>
  <c r="H11" i="7" s="1"/>
  <c r="M10" i="8"/>
  <c r="F11" i="7" s="1"/>
  <c r="E16" i="7" s="1"/>
  <c r="L10" i="8"/>
  <c r="N10" i="8"/>
  <c r="G11" i="7" s="1"/>
  <c r="K10" i="8"/>
  <c r="E11" i="7" s="1"/>
  <c r="J10" i="8"/>
  <c r="I10" i="8"/>
  <c r="D11" i="7" s="1"/>
  <c r="H10" i="8"/>
  <c r="G10" i="8"/>
  <c r="F10" i="8"/>
  <c r="E10" i="8"/>
  <c r="Z9" i="8"/>
  <c r="T9" i="8"/>
  <c r="R9" i="8"/>
  <c r="Q9" i="8"/>
  <c r="S9" i="8"/>
  <c r="P9" i="8"/>
  <c r="O9" i="8"/>
  <c r="H15" i="7" s="1"/>
  <c r="M9" i="8"/>
  <c r="F15" i="7" s="1"/>
  <c r="L9" i="8"/>
  <c r="N9" i="8"/>
  <c r="G15" i="7" s="1"/>
  <c r="K9" i="8"/>
  <c r="E15" i="7" s="1"/>
  <c r="J9" i="8"/>
  <c r="I9" i="8"/>
  <c r="D15" i="7" s="1"/>
  <c r="H9" i="8"/>
  <c r="G9" i="8"/>
  <c r="F9" i="8"/>
  <c r="E9" i="8"/>
  <c r="Z8" i="8"/>
  <c r="Q8" i="8"/>
  <c r="R8" i="8" s="1"/>
  <c r="S8" i="8"/>
  <c r="P8" i="8"/>
  <c r="O8" i="8"/>
  <c r="H27" i="7" s="1"/>
  <c r="L8" i="8"/>
  <c r="M8" i="8" s="1"/>
  <c r="F27" i="7" s="1"/>
  <c r="N8" i="8"/>
  <c r="G27" i="7" s="1"/>
  <c r="K8" i="8"/>
  <c r="E27" i="7" s="1"/>
  <c r="J8" i="8"/>
  <c r="I8" i="8"/>
  <c r="D27" i="7" s="1"/>
  <c r="H8" i="8"/>
  <c r="G8" i="8"/>
  <c r="F8" i="8"/>
  <c r="E8" i="8"/>
  <c r="G7" i="8"/>
  <c r="A7" i="8"/>
  <c r="G6" i="8"/>
  <c r="A6" i="8"/>
  <c r="H646" i="6"/>
  <c r="H642" i="6"/>
  <c r="C646" i="6"/>
  <c r="C642" i="6"/>
  <c r="J638" i="6"/>
  <c r="C638" i="6"/>
  <c r="J637" i="6"/>
  <c r="C637" i="6"/>
  <c r="J636" i="6"/>
  <c r="C636" i="6"/>
  <c r="J635" i="6"/>
  <c r="C635" i="6"/>
  <c r="J634" i="6"/>
  <c r="C634" i="6"/>
  <c r="J633" i="6"/>
  <c r="C633" i="6"/>
  <c r="J632" i="6"/>
  <c r="C632" i="6"/>
  <c r="J631" i="6"/>
  <c r="C631" i="6"/>
  <c r="AG629" i="6"/>
  <c r="A629" i="6"/>
  <c r="I24" i="6"/>
  <c r="I23" i="6"/>
  <c r="G23" i="6" s="1"/>
  <c r="I22" i="6"/>
  <c r="I21" i="6"/>
  <c r="I20" i="6"/>
  <c r="I19" i="6"/>
  <c r="I18" i="6"/>
  <c r="J627" i="6"/>
  <c r="C627" i="6"/>
  <c r="J626" i="6"/>
  <c r="C626" i="6"/>
  <c r="J625" i="6"/>
  <c r="C625" i="6"/>
  <c r="J624" i="6"/>
  <c r="C624" i="6"/>
  <c r="J623" i="6"/>
  <c r="C623" i="6"/>
  <c r="J622" i="6"/>
  <c r="C622" i="6"/>
  <c r="J621" i="6"/>
  <c r="C621" i="6"/>
  <c r="J620" i="6"/>
  <c r="C620" i="6"/>
  <c r="AG618" i="6"/>
  <c r="A618" i="6"/>
  <c r="Z616" i="6"/>
  <c r="Y616" i="6"/>
  <c r="X616" i="6"/>
  <c r="L616" i="6"/>
  <c r="Q616" i="6" s="1"/>
  <c r="H613" i="6"/>
  <c r="L615" i="6"/>
  <c r="G615" i="6"/>
  <c r="E615" i="6"/>
  <c r="J614" i="6"/>
  <c r="E614" i="6"/>
  <c r="J613" i="6"/>
  <c r="E613" i="6"/>
  <c r="K612" i="6"/>
  <c r="J612" i="6"/>
  <c r="H612" i="6"/>
  <c r="G612" i="6"/>
  <c r="F612" i="6"/>
  <c r="K611" i="6"/>
  <c r="J611" i="6"/>
  <c r="H611" i="6"/>
  <c r="G611" i="6"/>
  <c r="F611" i="6"/>
  <c r="K610" i="6"/>
  <c r="J610" i="6"/>
  <c r="H610" i="6"/>
  <c r="R610" i="6" s="1"/>
  <c r="G610" i="6"/>
  <c r="F610" i="6"/>
  <c r="C609" i="6"/>
  <c r="V608" i="6"/>
  <c r="K614" i="6" s="1"/>
  <c r="T608" i="6"/>
  <c r="K613" i="6" s="1"/>
  <c r="U608" i="6"/>
  <c r="H614" i="6" s="1"/>
  <c r="S608" i="6"/>
  <c r="F608" i="6"/>
  <c r="E608" i="6"/>
  <c r="D608" i="6"/>
  <c r="I608" i="6"/>
  <c r="C608" i="6"/>
  <c r="B608" i="6"/>
  <c r="A608" i="6"/>
  <c r="Z607" i="6"/>
  <c r="Y607" i="6"/>
  <c r="X607" i="6"/>
  <c r="L607" i="6"/>
  <c r="Q607" i="6" s="1"/>
  <c r="L606" i="6"/>
  <c r="G606" i="6"/>
  <c r="E606" i="6"/>
  <c r="J605" i="6"/>
  <c r="E605" i="6"/>
  <c r="J604" i="6"/>
  <c r="E604" i="6"/>
  <c r="K603" i="6"/>
  <c r="J603" i="6"/>
  <c r="H603" i="6"/>
  <c r="G603" i="6"/>
  <c r="F603" i="6"/>
  <c r="K602" i="6"/>
  <c r="J602" i="6"/>
  <c r="R602" i="6"/>
  <c r="H602" i="6"/>
  <c r="G602" i="6"/>
  <c r="F602" i="6"/>
  <c r="K601" i="6"/>
  <c r="J601" i="6"/>
  <c r="H601" i="6"/>
  <c r="G601" i="6"/>
  <c r="F601" i="6"/>
  <c r="K600" i="6"/>
  <c r="J600" i="6"/>
  <c r="H600" i="6"/>
  <c r="R600" i="6" s="1"/>
  <c r="G600" i="6"/>
  <c r="F600" i="6"/>
  <c r="C599" i="6"/>
  <c r="V598" i="6"/>
  <c r="K605" i="6" s="1"/>
  <c r="T598" i="6"/>
  <c r="K604" i="6" s="1"/>
  <c r="U598" i="6"/>
  <c r="H605" i="6" s="1"/>
  <c r="S598" i="6"/>
  <c r="H604" i="6" s="1"/>
  <c r="G607" i="6" s="1"/>
  <c r="F598" i="6"/>
  <c r="E598" i="6"/>
  <c r="D598" i="6"/>
  <c r="I598" i="6"/>
  <c r="C598" i="6"/>
  <c r="B598" i="6"/>
  <c r="A598" i="6"/>
  <c r="Z597" i="6"/>
  <c r="Y597" i="6"/>
  <c r="X597" i="6"/>
  <c r="L597" i="6"/>
  <c r="Q597" i="6" s="1"/>
  <c r="H594" i="6"/>
  <c r="L596" i="6"/>
  <c r="G596" i="6"/>
  <c r="E596" i="6"/>
  <c r="J595" i="6"/>
  <c r="E595" i="6"/>
  <c r="J594" i="6"/>
  <c r="E594" i="6"/>
  <c r="K593" i="6"/>
  <c r="J593" i="6"/>
  <c r="H593" i="6"/>
  <c r="G593" i="6"/>
  <c r="F593" i="6"/>
  <c r="K592" i="6"/>
  <c r="J592" i="6"/>
  <c r="H592" i="6"/>
  <c r="G592" i="6"/>
  <c r="F592" i="6"/>
  <c r="K591" i="6"/>
  <c r="J591" i="6"/>
  <c r="H591" i="6"/>
  <c r="R591" i="6" s="1"/>
  <c r="G591" i="6"/>
  <c r="F591" i="6"/>
  <c r="C590" i="6"/>
  <c r="V589" i="6"/>
  <c r="K595" i="6" s="1"/>
  <c r="T589" i="6"/>
  <c r="K594" i="6" s="1"/>
  <c r="U589" i="6"/>
  <c r="H595" i="6" s="1"/>
  <c r="S589" i="6"/>
  <c r="F589" i="6"/>
  <c r="E589" i="6"/>
  <c r="D589" i="6"/>
  <c r="I589" i="6"/>
  <c r="C589" i="6"/>
  <c r="B589" i="6"/>
  <c r="A589" i="6"/>
  <c r="Z588" i="6"/>
  <c r="Y588" i="6"/>
  <c r="X588" i="6"/>
  <c r="L588" i="6"/>
  <c r="Q588" i="6" s="1"/>
  <c r="K585" i="6"/>
  <c r="H585" i="6"/>
  <c r="G588" i="6" s="1"/>
  <c r="L587" i="6"/>
  <c r="G587" i="6"/>
  <c r="E587" i="6"/>
  <c r="J586" i="6"/>
  <c r="E586" i="6"/>
  <c r="J585" i="6"/>
  <c r="E585" i="6"/>
  <c r="K584" i="6"/>
  <c r="J584" i="6"/>
  <c r="H584" i="6"/>
  <c r="G584" i="6"/>
  <c r="F584" i="6"/>
  <c r="K583" i="6"/>
  <c r="J583" i="6"/>
  <c r="H583" i="6"/>
  <c r="G583" i="6"/>
  <c r="F583" i="6"/>
  <c r="K582" i="6"/>
  <c r="J582" i="6"/>
  <c r="H582" i="6"/>
  <c r="R582" i="6" s="1"/>
  <c r="G582" i="6"/>
  <c r="F582" i="6"/>
  <c r="V581" i="6"/>
  <c r="K586" i="6" s="1"/>
  <c r="T581" i="6"/>
  <c r="U581" i="6"/>
  <c r="H586" i="6" s="1"/>
  <c r="S581" i="6"/>
  <c r="F581" i="6"/>
  <c r="E581" i="6"/>
  <c r="D581" i="6"/>
  <c r="I581" i="6"/>
  <c r="C581" i="6"/>
  <c r="B581" i="6"/>
  <c r="A581" i="6"/>
  <c r="Z580" i="6"/>
  <c r="Y580" i="6"/>
  <c r="X580" i="6"/>
  <c r="P580" i="6"/>
  <c r="L580" i="6"/>
  <c r="Q580" i="6" s="1"/>
  <c r="J580" i="6"/>
  <c r="G580" i="6"/>
  <c r="K579" i="6"/>
  <c r="J579" i="6"/>
  <c r="H579" i="6"/>
  <c r="G579" i="6"/>
  <c r="F579" i="6"/>
  <c r="V578" i="6"/>
  <c r="T578" i="6"/>
  <c r="U578" i="6"/>
  <c r="S578" i="6"/>
  <c r="F578" i="6"/>
  <c r="E578" i="6"/>
  <c r="D578" i="6"/>
  <c r="I578" i="6"/>
  <c r="C578" i="6"/>
  <c r="B578" i="6"/>
  <c r="A578" i="6"/>
  <c r="Z577" i="6"/>
  <c r="Y577" i="6"/>
  <c r="X577" i="6"/>
  <c r="L577" i="6"/>
  <c r="Q577" i="6" s="1"/>
  <c r="J577" i="6"/>
  <c r="P577" i="6" s="1"/>
  <c r="G577" i="6"/>
  <c r="W577" i="6" s="1"/>
  <c r="K576" i="6"/>
  <c r="J576" i="6"/>
  <c r="H576" i="6"/>
  <c r="G576" i="6"/>
  <c r="F576" i="6"/>
  <c r="V575" i="6"/>
  <c r="T575" i="6"/>
  <c r="U575" i="6"/>
  <c r="S575" i="6"/>
  <c r="F575" i="6"/>
  <c r="E575" i="6"/>
  <c r="D575" i="6"/>
  <c r="I575" i="6"/>
  <c r="C575" i="6"/>
  <c r="B575" i="6"/>
  <c r="A575" i="6"/>
  <c r="Z574" i="6"/>
  <c r="Y574" i="6"/>
  <c r="X574" i="6"/>
  <c r="L574" i="6"/>
  <c r="Q574" i="6" s="1"/>
  <c r="L573" i="6"/>
  <c r="G573" i="6"/>
  <c r="E573" i="6"/>
  <c r="J572" i="6"/>
  <c r="E572" i="6"/>
  <c r="J571" i="6"/>
  <c r="E571" i="6"/>
  <c r="K570" i="6"/>
  <c r="J570" i="6"/>
  <c r="H570" i="6"/>
  <c r="G570" i="6"/>
  <c r="F570" i="6"/>
  <c r="K569" i="6"/>
  <c r="J569" i="6"/>
  <c r="H569" i="6"/>
  <c r="R569" i="6" s="1"/>
  <c r="G569" i="6"/>
  <c r="F569" i="6"/>
  <c r="K568" i="6"/>
  <c r="J568" i="6"/>
  <c r="H568" i="6"/>
  <c r="G568" i="6"/>
  <c r="F568" i="6"/>
  <c r="K567" i="6"/>
  <c r="J567" i="6"/>
  <c r="H567" i="6"/>
  <c r="R567" i="6" s="1"/>
  <c r="G567" i="6"/>
  <c r="F567" i="6"/>
  <c r="C566" i="6"/>
  <c r="V565" i="6"/>
  <c r="K572" i="6" s="1"/>
  <c r="T565" i="6"/>
  <c r="K571" i="6" s="1"/>
  <c r="J574" i="6" s="1"/>
  <c r="P574" i="6" s="1"/>
  <c r="U565" i="6"/>
  <c r="H572" i="6" s="1"/>
  <c r="S565" i="6"/>
  <c r="H571" i="6" s="1"/>
  <c r="F565" i="6"/>
  <c r="E565" i="6"/>
  <c r="D565" i="6"/>
  <c r="I565" i="6"/>
  <c r="C565" i="6"/>
  <c r="B565" i="6"/>
  <c r="A565" i="6"/>
  <c r="Z564" i="6"/>
  <c r="Y564" i="6"/>
  <c r="X564" i="6"/>
  <c r="L564" i="6"/>
  <c r="Q564" i="6" s="1"/>
  <c r="J564" i="6"/>
  <c r="P564" i="6" s="1"/>
  <c r="G564" i="6"/>
  <c r="W564" i="6" s="1"/>
  <c r="K563" i="6"/>
  <c r="J563" i="6"/>
  <c r="H563" i="6"/>
  <c r="G563" i="6"/>
  <c r="F563" i="6"/>
  <c r="V562" i="6"/>
  <c r="T562" i="6"/>
  <c r="U562" i="6"/>
  <c r="S562" i="6"/>
  <c r="F562" i="6"/>
  <c r="E562" i="6"/>
  <c r="D562" i="6"/>
  <c r="I562" i="6"/>
  <c r="C562" i="6"/>
  <c r="B562" i="6"/>
  <c r="A562" i="6"/>
  <c r="Z561" i="6"/>
  <c r="Y561" i="6"/>
  <c r="X561" i="6"/>
  <c r="Q561" i="6"/>
  <c r="L561" i="6"/>
  <c r="K557" i="6"/>
  <c r="AB560" i="6"/>
  <c r="K560" i="6"/>
  <c r="J560" i="6"/>
  <c r="Y560" i="6"/>
  <c r="AA560" i="6"/>
  <c r="H560" i="6"/>
  <c r="F560" i="6"/>
  <c r="V560" i="6"/>
  <c r="T560" i="6"/>
  <c r="U560" i="6"/>
  <c r="S560" i="6"/>
  <c r="E560" i="6"/>
  <c r="D560" i="6"/>
  <c r="C560" i="6"/>
  <c r="B560" i="6"/>
  <c r="A560" i="6"/>
  <c r="L559" i="6"/>
  <c r="G559" i="6"/>
  <c r="E559" i="6"/>
  <c r="J558" i="6"/>
  <c r="E558" i="6"/>
  <c r="J557" i="6"/>
  <c r="E557" i="6"/>
  <c r="K556" i="6"/>
  <c r="J556" i="6"/>
  <c r="H556" i="6"/>
  <c r="G556" i="6"/>
  <c r="F556" i="6"/>
  <c r="K555" i="6"/>
  <c r="J555" i="6"/>
  <c r="H555" i="6"/>
  <c r="R555" i="6" s="1"/>
  <c r="G555" i="6"/>
  <c r="F555" i="6"/>
  <c r="K554" i="6"/>
  <c r="J554" i="6"/>
  <c r="H554" i="6"/>
  <c r="G554" i="6"/>
  <c r="F554" i="6"/>
  <c r="K553" i="6"/>
  <c r="J553" i="6"/>
  <c r="H553" i="6"/>
  <c r="R553" i="6" s="1"/>
  <c r="G553" i="6"/>
  <c r="F553" i="6"/>
  <c r="C552" i="6"/>
  <c r="V551" i="6"/>
  <c r="K558" i="6" s="1"/>
  <c r="T551" i="6"/>
  <c r="U551" i="6"/>
  <c r="H558" i="6" s="1"/>
  <c r="S551" i="6"/>
  <c r="H557" i="6" s="1"/>
  <c r="F551" i="6"/>
  <c r="E551" i="6"/>
  <c r="D551" i="6"/>
  <c r="I551" i="6"/>
  <c r="C551" i="6"/>
  <c r="B551" i="6"/>
  <c r="A551" i="6"/>
  <c r="Z550" i="6"/>
  <c r="Y550" i="6"/>
  <c r="X550" i="6"/>
  <c r="L550" i="6"/>
  <c r="Q550" i="6" s="1"/>
  <c r="K547" i="6"/>
  <c r="J550" i="6" s="1"/>
  <c r="P550" i="6" s="1"/>
  <c r="H547" i="6"/>
  <c r="G550" i="6" s="1"/>
  <c r="L549" i="6"/>
  <c r="G549" i="6"/>
  <c r="E549" i="6"/>
  <c r="J548" i="6"/>
  <c r="E548" i="6"/>
  <c r="J547" i="6"/>
  <c r="E547" i="6"/>
  <c r="K546" i="6"/>
  <c r="J546" i="6"/>
  <c r="R546" i="6"/>
  <c r="H546" i="6"/>
  <c r="G546" i="6"/>
  <c r="F546" i="6"/>
  <c r="K545" i="6"/>
  <c r="J545" i="6"/>
  <c r="H545" i="6"/>
  <c r="G545" i="6"/>
  <c r="F545" i="6"/>
  <c r="K544" i="6"/>
  <c r="J544" i="6"/>
  <c r="H544" i="6"/>
  <c r="R544" i="6" s="1"/>
  <c r="G544" i="6"/>
  <c r="F544" i="6"/>
  <c r="C543" i="6"/>
  <c r="V542" i="6"/>
  <c r="K548" i="6" s="1"/>
  <c r="T542" i="6"/>
  <c r="U542" i="6"/>
  <c r="H548" i="6" s="1"/>
  <c r="S542" i="6"/>
  <c r="F542" i="6"/>
  <c r="E542" i="6"/>
  <c r="D542" i="6"/>
  <c r="I542" i="6"/>
  <c r="C542" i="6"/>
  <c r="B542" i="6"/>
  <c r="A542" i="6"/>
  <c r="AE541" i="6"/>
  <c r="A541" i="6"/>
  <c r="J538" i="6"/>
  <c r="C538" i="6"/>
  <c r="J537" i="6"/>
  <c r="C537" i="6"/>
  <c r="J536" i="6"/>
  <c r="C536" i="6"/>
  <c r="J535" i="6"/>
  <c r="C535" i="6"/>
  <c r="J534" i="6"/>
  <c r="C534" i="6"/>
  <c r="J533" i="6"/>
  <c r="C533" i="6"/>
  <c r="J532" i="6"/>
  <c r="C532" i="6"/>
  <c r="J531" i="6"/>
  <c r="C531" i="6"/>
  <c r="AG529" i="6"/>
  <c r="A529" i="6"/>
  <c r="Z527" i="6"/>
  <c r="Y527" i="6"/>
  <c r="X527" i="6"/>
  <c r="L527" i="6"/>
  <c r="Q527" i="6" s="1"/>
  <c r="H524" i="6"/>
  <c r="L526" i="6"/>
  <c r="G526" i="6"/>
  <c r="E526" i="6"/>
  <c r="J525" i="6"/>
  <c r="E525" i="6"/>
  <c r="J524" i="6"/>
  <c r="E524" i="6"/>
  <c r="K523" i="6"/>
  <c r="J523" i="6"/>
  <c r="H523" i="6"/>
  <c r="R523" i="6" s="1"/>
  <c r="G523" i="6"/>
  <c r="F523" i="6"/>
  <c r="K522" i="6"/>
  <c r="J522" i="6"/>
  <c r="H522" i="6"/>
  <c r="G522" i="6"/>
  <c r="F522" i="6"/>
  <c r="K521" i="6"/>
  <c r="J521" i="6"/>
  <c r="H521" i="6"/>
  <c r="R521" i="6" s="1"/>
  <c r="G521" i="6"/>
  <c r="F521" i="6"/>
  <c r="C520" i="6"/>
  <c r="V519" i="6"/>
  <c r="K525" i="6" s="1"/>
  <c r="T519" i="6"/>
  <c r="K524" i="6" s="1"/>
  <c r="U519" i="6"/>
  <c r="H525" i="6" s="1"/>
  <c r="S519" i="6"/>
  <c r="F519" i="6"/>
  <c r="E519" i="6"/>
  <c r="D519" i="6"/>
  <c r="I519" i="6"/>
  <c r="C519" i="6"/>
  <c r="B519" i="6"/>
  <c r="A519" i="6"/>
  <c r="Z518" i="6"/>
  <c r="Y518" i="6"/>
  <c r="X518" i="6"/>
  <c r="P518" i="6"/>
  <c r="O518" i="6"/>
  <c r="L518" i="6"/>
  <c r="Q518" i="6" s="1"/>
  <c r="J518" i="6"/>
  <c r="G518" i="6"/>
  <c r="W518" i="6" s="1"/>
  <c r="K517" i="6"/>
  <c r="J517" i="6"/>
  <c r="H517" i="6"/>
  <c r="G517" i="6"/>
  <c r="F517" i="6"/>
  <c r="V516" i="6"/>
  <c r="T516" i="6"/>
  <c r="U516" i="6"/>
  <c r="S516" i="6"/>
  <c r="F516" i="6"/>
  <c r="E516" i="6"/>
  <c r="D516" i="6"/>
  <c r="I516" i="6"/>
  <c r="C516" i="6"/>
  <c r="B516" i="6"/>
  <c r="A516" i="6"/>
  <c r="Z515" i="6"/>
  <c r="Y515" i="6"/>
  <c r="X515" i="6"/>
  <c r="L515" i="6"/>
  <c r="Q515" i="6" s="1"/>
  <c r="L514" i="6"/>
  <c r="G514" i="6"/>
  <c r="E514" i="6"/>
  <c r="J513" i="6"/>
  <c r="E513" i="6"/>
  <c r="J512" i="6"/>
  <c r="E512" i="6"/>
  <c r="K511" i="6"/>
  <c r="J511" i="6"/>
  <c r="H511" i="6"/>
  <c r="G511" i="6"/>
  <c r="F511" i="6"/>
  <c r="K510" i="6"/>
  <c r="J510" i="6"/>
  <c r="R510" i="6"/>
  <c r="H510" i="6"/>
  <c r="G510" i="6"/>
  <c r="F510" i="6"/>
  <c r="K509" i="6"/>
  <c r="J509" i="6"/>
  <c r="H509" i="6"/>
  <c r="G509" i="6"/>
  <c r="F509" i="6"/>
  <c r="K508" i="6"/>
  <c r="J508" i="6"/>
  <c r="H508" i="6"/>
  <c r="R508" i="6" s="1"/>
  <c r="G508" i="6"/>
  <c r="F508" i="6"/>
  <c r="C507" i="6"/>
  <c r="V506" i="6"/>
  <c r="K513" i="6" s="1"/>
  <c r="T506" i="6"/>
  <c r="K512" i="6" s="1"/>
  <c r="J515" i="6" s="1"/>
  <c r="P515" i="6" s="1"/>
  <c r="U506" i="6"/>
  <c r="H513" i="6" s="1"/>
  <c r="S506" i="6"/>
  <c r="H512" i="6" s="1"/>
  <c r="F506" i="6"/>
  <c r="E506" i="6"/>
  <c r="D506" i="6"/>
  <c r="I506" i="6"/>
  <c r="C506" i="6"/>
  <c r="B506" i="6"/>
  <c r="A506" i="6"/>
  <c r="Z505" i="6"/>
  <c r="Y505" i="6"/>
  <c r="X505" i="6"/>
  <c r="Q505" i="6"/>
  <c r="L505" i="6"/>
  <c r="J504" i="6"/>
  <c r="E504" i="6"/>
  <c r="J503" i="6"/>
  <c r="E503" i="6"/>
  <c r="K502" i="6"/>
  <c r="J502" i="6"/>
  <c r="H502" i="6"/>
  <c r="G502" i="6"/>
  <c r="F502" i="6"/>
  <c r="K501" i="6"/>
  <c r="J501" i="6"/>
  <c r="H501" i="6"/>
  <c r="R501" i="6" s="1"/>
  <c r="G501" i="6"/>
  <c r="F501" i="6"/>
  <c r="K500" i="6"/>
  <c r="J500" i="6"/>
  <c r="H500" i="6"/>
  <c r="G500" i="6"/>
  <c r="F500" i="6"/>
  <c r="V499" i="6"/>
  <c r="K504" i="6" s="1"/>
  <c r="T499" i="6"/>
  <c r="K503" i="6" s="1"/>
  <c r="U499" i="6"/>
  <c r="H504" i="6" s="1"/>
  <c r="S499" i="6"/>
  <c r="H503" i="6" s="1"/>
  <c r="F499" i="6"/>
  <c r="E499" i="6"/>
  <c r="D499" i="6"/>
  <c r="I499" i="6"/>
  <c r="C499" i="6"/>
  <c r="B499" i="6"/>
  <c r="A499" i="6"/>
  <c r="Z498" i="6"/>
  <c r="Y498" i="6"/>
  <c r="X498" i="6"/>
  <c r="Q498" i="6"/>
  <c r="L498" i="6"/>
  <c r="L497" i="6"/>
  <c r="G497" i="6"/>
  <c r="E497" i="6"/>
  <c r="J496" i="6"/>
  <c r="E496" i="6"/>
  <c r="J495" i="6"/>
  <c r="E495" i="6"/>
  <c r="K494" i="6"/>
  <c r="J494" i="6"/>
  <c r="H494" i="6"/>
  <c r="G494" i="6"/>
  <c r="F494" i="6"/>
  <c r="K493" i="6"/>
  <c r="J493" i="6"/>
  <c r="H493" i="6"/>
  <c r="R493" i="6" s="1"/>
  <c r="G493" i="6"/>
  <c r="F493" i="6"/>
  <c r="K492" i="6"/>
  <c r="J492" i="6"/>
  <c r="H492" i="6"/>
  <c r="G492" i="6"/>
  <c r="F492" i="6"/>
  <c r="K491" i="6"/>
  <c r="J491" i="6"/>
  <c r="H491" i="6"/>
  <c r="R491" i="6" s="1"/>
  <c r="G491" i="6"/>
  <c r="F491" i="6"/>
  <c r="C490" i="6"/>
  <c r="V489" i="6"/>
  <c r="K496" i="6" s="1"/>
  <c r="T489" i="6"/>
  <c r="K495" i="6" s="1"/>
  <c r="J498" i="6" s="1"/>
  <c r="P498" i="6" s="1"/>
  <c r="U489" i="6"/>
  <c r="H496" i="6" s="1"/>
  <c r="S489" i="6"/>
  <c r="H495" i="6" s="1"/>
  <c r="F489" i="6"/>
  <c r="E489" i="6"/>
  <c r="D489" i="6"/>
  <c r="I489" i="6"/>
  <c r="C489" i="6"/>
  <c r="B489" i="6"/>
  <c r="A489" i="6"/>
  <c r="Z488" i="6"/>
  <c r="Y488" i="6"/>
  <c r="X488" i="6"/>
  <c r="L488" i="6"/>
  <c r="Q488" i="6" s="1"/>
  <c r="J488" i="6"/>
  <c r="P488" i="6" s="1"/>
  <c r="G488" i="6"/>
  <c r="W488" i="6" s="1"/>
  <c r="K487" i="6"/>
  <c r="J487" i="6"/>
  <c r="H487" i="6"/>
  <c r="G487" i="6"/>
  <c r="F487" i="6"/>
  <c r="V486" i="6"/>
  <c r="T486" i="6"/>
  <c r="U486" i="6"/>
  <c r="S486" i="6"/>
  <c r="F486" i="6"/>
  <c r="E486" i="6"/>
  <c r="D486" i="6"/>
  <c r="I486" i="6"/>
  <c r="C486" i="6"/>
  <c r="B486" i="6"/>
  <c r="A486" i="6"/>
  <c r="Z485" i="6"/>
  <c r="Y485" i="6"/>
  <c r="X485" i="6"/>
  <c r="L485" i="6"/>
  <c r="Q485" i="6" s="1"/>
  <c r="L484" i="6"/>
  <c r="G484" i="6"/>
  <c r="E484" i="6"/>
  <c r="J483" i="6"/>
  <c r="E483" i="6"/>
  <c r="J482" i="6"/>
  <c r="E482" i="6"/>
  <c r="K481" i="6"/>
  <c r="J481" i="6"/>
  <c r="H481" i="6"/>
  <c r="G481" i="6"/>
  <c r="F481" i="6"/>
  <c r="K480" i="6"/>
  <c r="J480" i="6"/>
  <c r="H480" i="6"/>
  <c r="R480" i="6" s="1"/>
  <c r="G480" i="6"/>
  <c r="F480" i="6"/>
  <c r="K479" i="6"/>
  <c r="J479" i="6"/>
  <c r="H479" i="6"/>
  <c r="G479" i="6"/>
  <c r="F479" i="6"/>
  <c r="K478" i="6"/>
  <c r="J478" i="6"/>
  <c r="H478" i="6"/>
  <c r="R478" i="6" s="1"/>
  <c r="G478" i="6"/>
  <c r="F478" i="6"/>
  <c r="C477" i="6"/>
  <c r="V476" i="6"/>
  <c r="K483" i="6" s="1"/>
  <c r="T476" i="6"/>
  <c r="K482" i="6" s="1"/>
  <c r="U476" i="6"/>
  <c r="H483" i="6" s="1"/>
  <c r="S476" i="6"/>
  <c r="H482" i="6" s="1"/>
  <c r="G485" i="6" s="1"/>
  <c r="O485" i="6" s="1"/>
  <c r="F476" i="6"/>
  <c r="E476" i="6"/>
  <c r="D476" i="6"/>
  <c r="I476" i="6"/>
  <c r="C476" i="6"/>
  <c r="B476" i="6"/>
  <c r="A476" i="6"/>
  <c r="Z475" i="6"/>
  <c r="Y475" i="6"/>
  <c r="X475" i="6"/>
  <c r="Q475" i="6"/>
  <c r="L475" i="6"/>
  <c r="L474" i="6"/>
  <c r="G474" i="6"/>
  <c r="E474" i="6"/>
  <c r="J473" i="6"/>
  <c r="E473" i="6"/>
  <c r="J472" i="6"/>
  <c r="E472" i="6"/>
  <c r="K471" i="6"/>
  <c r="J471" i="6"/>
  <c r="H471" i="6"/>
  <c r="G471" i="6"/>
  <c r="F471" i="6"/>
  <c r="K470" i="6"/>
  <c r="J470" i="6"/>
  <c r="R470" i="6"/>
  <c r="H470" i="6"/>
  <c r="G470" i="6"/>
  <c r="F470" i="6"/>
  <c r="K469" i="6"/>
  <c r="J469" i="6"/>
  <c r="H469" i="6"/>
  <c r="G469" i="6"/>
  <c r="F469" i="6"/>
  <c r="K468" i="6"/>
  <c r="J468" i="6"/>
  <c r="H468" i="6"/>
  <c r="R468" i="6" s="1"/>
  <c r="G468" i="6"/>
  <c r="F468" i="6"/>
  <c r="C467" i="6"/>
  <c r="V466" i="6"/>
  <c r="K473" i="6" s="1"/>
  <c r="T466" i="6"/>
  <c r="K472" i="6" s="1"/>
  <c r="J475" i="6" s="1"/>
  <c r="P475" i="6" s="1"/>
  <c r="U466" i="6"/>
  <c r="H473" i="6" s="1"/>
  <c r="S466" i="6"/>
  <c r="H472" i="6" s="1"/>
  <c r="G475" i="6" s="1"/>
  <c r="F466" i="6"/>
  <c r="E466" i="6"/>
  <c r="D466" i="6"/>
  <c r="I466" i="6"/>
  <c r="C466" i="6"/>
  <c r="B466" i="6"/>
  <c r="A466" i="6"/>
  <c r="AE465" i="6"/>
  <c r="A465" i="6"/>
  <c r="J462" i="6"/>
  <c r="C462" i="6"/>
  <c r="J461" i="6"/>
  <c r="C461" i="6"/>
  <c r="J460" i="6"/>
  <c r="C460" i="6"/>
  <c r="J459" i="6"/>
  <c r="C459" i="6"/>
  <c r="J458" i="6"/>
  <c r="C458" i="6"/>
  <c r="J457" i="6"/>
  <c r="C457" i="6"/>
  <c r="J456" i="6"/>
  <c r="C456" i="6"/>
  <c r="J455" i="6"/>
  <c r="C455" i="6"/>
  <c r="AG453" i="6"/>
  <c r="A453" i="6"/>
  <c r="Z451" i="6"/>
  <c r="Y451" i="6"/>
  <c r="X451" i="6"/>
  <c r="O451" i="6"/>
  <c r="G453" i="6" s="1"/>
  <c r="L451" i="6"/>
  <c r="Q451" i="6" s="1"/>
  <c r="L453" i="6" s="1"/>
  <c r="J451" i="6"/>
  <c r="P451" i="6" s="1"/>
  <c r="J453" i="6" s="1"/>
  <c r="G451" i="6"/>
  <c r="W451" i="6" s="1"/>
  <c r="K450" i="6"/>
  <c r="J450" i="6"/>
  <c r="H450" i="6"/>
  <c r="G450" i="6"/>
  <c r="F450" i="6"/>
  <c r="V449" i="6"/>
  <c r="T449" i="6"/>
  <c r="U449" i="6"/>
  <c r="S449" i="6"/>
  <c r="F449" i="6"/>
  <c r="E449" i="6"/>
  <c r="D449" i="6"/>
  <c r="I449" i="6"/>
  <c r="C449" i="6"/>
  <c r="B449" i="6"/>
  <c r="A449" i="6"/>
  <c r="AE448" i="6"/>
  <c r="A448" i="6"/>
  <c r="J445" i="6"/>
  <c r="C445" i="6"/>
  <c r="J444" i="6"/>
  <c r="C444" i="6"/>
  <c r="J443" i="6"/>
  <c r="C443" i="6"/>
  <c r="J442" i="6"/>
  <c r="C442" i="6"/>
  <c r="J441" i="6"/>
  <c r="C441" i="6"/>
  <c r="J440" i="6"/>
  <c r="C440" i="6"/>
  <c r="J439" i="6"/>
  <c r="C439" i="6"/>
  <c r="J438" i="6"/>
  <c r="C438" i="6"/>
  <c r="AG436" i="6"/>
  <c r="A436" i="6"/>
  <c r="Z434" i="6"/>
  <c r="Y434" i="6"/>
  <c r="X434" i="6"/>
  <c r="L434" i="6"/>
  <c r="Q434" i="6" s="1"/>
  <c r="J434" i="6"/>
  <c r="P434" i="6" s="1"/>
  <c r="G434" i="6"/>
  <c r="W434" i="6" s="1"/>
  <c r="K433" i="6"/>
  <c r="J433" i="6"/>
  <c r="H433" i="6"/>
  <c r="G433" i="6"/>
  <c r="F433" i="6"/>
  <c r="V432" i="6"/>
  <c r="T432" i="6"/>
  <c r="U432" i="6"/>
  <c r="S432" i="6"/>
  <c r="F432" i="6"/>
  <c r="E432" i="6"/>
  <c r="D432" i="6"/>
  <c r="I432" i="6"/>
  <c r="C432" i="6"/>
  <c r="B432" i="6"/>
  <c r="A432" i="6"/>
  <c r="Z431" i="6"/>
  <c r="Y431" i="6"/>
  <c r="X431" i="6"/>
  <c r="L431" i="6"/>
  <c r="Q431" i="6" s="1"/>
  <c r="AB430" i="6"/>
  <c r="K430" i="6"/>
  <c r="J430" i="6"/>
  <c r="Y430" i="6"/>
  <c r="AA430" i="6"/>
  <c r="H430" i="6"/>
  <c r="F430" i="6"/>
  <c r="V430" i="6"/>
  <c r="T430" i="6"/>
  <c r="U430" i="6"/>
  <c r="S430" i="6"/>
  <c r="E430" i="6"/>
  <c r="D430" i="6"/>
  <c r="C430" i="6"/>
  <c r="B430" i="6"/>
  <c r="A430" i="6"/>
  <c r="L429" i="6"/>
  <c r="G429" i="6"/>
  <c r="E429" i="6"/>
  <c r="J428" i="6"/>
  <c r="E428" i="6"/>
  <c r="J427" i="6"/>
  <c r="E427" i="6"/>
  <c r="K426" i="6"/>
  <c r="J426" i="6"/>
  <c r="H426" i="6"/>
  <c r="G426" i="6"/>
  <c r="F426" i="6"/>
  <c r="K425" i="6"/>
  <c r="J425" i="6"/>
  <c r="H425" i="6"/>
  <c r="R425" i="6" s="1"/>
  <c r="G425" i="6"/>
  <c r="F425" i="6"/>
  <c r="C424" i="6"/>
  <c r="V423" i="6"/>
  <c r="T423" i="6"/>
  <c r="K427" i="6" s="1"/>
  <c r="U423" i="6"/>
  <c r="S423" i="6"/>
  <c r="H427" i="6" s="1"/>
  <c r="F423" i="6"/>
  <c r="E423" i="6"/>
  <c r="D423" i="6"/>
  <c r="I423" i="6"/>
  <c r="C423" i="6"/>
  <c r="B423" i="6"/>
  <c r="A423" i="6"/>
  <c r="Z422" i="6"/>
  <c r="Y422" i="6"/>
  <c r="X422" i="6"/>
  <c r="L422" i="6"/>
  <c r="Q422" i="6" s="1"/>
  <c r="J422" i="6"/>
  <c r="P422" i="6" s="1"/>
  <c r="G422" i="6"/>
  <c r="W422" i="6" s="1"/>
  <c r="K421" i="6"/>
  <c r="J421" i="6"/>
  <c r="H421" i="6"/>
  <c r="G421" i="6"/>
  <c r="F421" i="6"/>
  <c r="V420" i="6"/>
  <c r="T420" i="6"/>
  <c r="U420" i="6"/>
  <c r="S420" i="6"/>
  <c r="F420" i="6"/>
  <c r="E420" i="6"/>
  <c r="D420" i="6"/>
  <c r="I420" i="6"/>
  <c r="C420" i="6"/>
  <c r="B420" i="6"/>
  <c r="A420" i="6"/>
  <c r="Z419" i="6"/>
  <c r="Y419" i="6"/>
  <c r="X419" i="6"/>
  <c r="L419" i="6"/>
  <c r="Q419" i="6" s="1"/>
  <c r="J419" i="6"/>
  <c r="P419" i="6" s="1"/>
  <c r="G419" i="6"/>
  <c r="W419" i="6" s="1"/>
  <c r="K418" i="6"/>
  <c r="J418" i="6"/>
  <c r="H418" i="6"/>
  <c r="G418" i="6"/>
  <c r="F418" i="6"/>
  <c r="C417" i="6"/>
  <c r="V416" i="6"/>
  <c r="T416" i="6"/>
  <c r="U416" i="6"/>
  <c r="S416" i="6"/>
  <c r="F416" i="6"/>
  <c r="E416" i="6"/>
  <c r="D416" i="6"/>
  <c r="I416" i="6"/>
  <c r="C416" i="6"/>
  <c r="B416" i="6"/>
  <c r="A416" i="6"/>
  <c r="Z415" i="6"/>
  <c r="Y415" i="6"/>
  <c r="X415" i="6"/>
  <c r="L415" i="6"/>
  <c r="Q415" i="6" s="1"/>
  <c r="H412" i="6"/>
  <c r="L414" i="6"/>
  <c r="G414" i="6"/>
  <c r="E414" i="6"/>
  <c r="J413" i="6"/>
  <c r="E413" i="6"/>
  <c r="J412" i="6"/>
  <c r="E412" i="6"/>
  <c r="K411" i="6"/>
  <c r="J411" i="6"/>
  <c r="H411" i="6"/>
  <c r="G411" i="6"/>
  <c r="F411" i="6"/>
  <c r="K410" i="6"/>
  <c r="J410" i="6"/>
  <c r="H410" i="6"/>
  <c r="R410" i="6" s="1"/>
  <c r="G410" i="6"/>
  <c r="F410" i="6"/>
  <c r="K409" i="6"/>
  <c r="J409" i="6"/>
  <c r="H409" i="6"/>
  <c r="G409" i="6"/>
  <c r="F409" i="6"/>
  <c r="K408" i="6"/>
  <c r="J408" i="6"/>
  <c r="H408" i="6"/>
  <c r="R408" i="6" s="1"/>
  <c r="G408" i="6"/>
  <c r="F408" i="6"/>
  <c r="C407" i="6"/>
  <c r="V406" i="6"/>
  <c r="K413" i="6" s="1"/>
  <c r="T406" i="6"/>
  <c r="K412" i="6" s="1"/>
  <c r="U406" i="6"/>
  <c r="H413" i="6" s="1"/>
  <c r="S406" i="6"/>
  <c r="F406" i="6"/>
  <c r="E406" i="6"/>
  <c r="D406" i="6"/>
  <c r="I406" i="6"/>
  <c r="C406" i="6"/>
  <c r="B406" i="6"/>
  <c r="A406" i="6"/>
  <c r="Z405" i="6"/>
  <c r="Y405" i="6"/>
  <c r="X405" i="6"/>
  <c r="L405" i="6"/>
  <c r="Q405" i="6" s="1"/>
  <c r="J405" i="6"/>
  <c r="P405" i="6" s="1"/>
  <c r="G405" i="6"/>
  <c r="W405" i="6" s="1"/>
  <c r="K404" i="6"/>
  <c r="J404" i="6"/>
  <c r="H404" i="6"/>
  <c r="G404" i="6"/>
  <c r="F404" i="6"/>
  <c r="C403" i="6"/>
  <c r="V402" i="6"/>
  <c r="T402" i="6"/>
  <c r="U402" i="6"/>
  <c r="S402" i="6"/>
  <c r="F402" i="6"/>
  <c r="E402" i="6"/>
  <c r="D402" i="6"/>
  <c r="I402" i="6"/>
  <c r="C402" i="6"/>
  <c r="B402" i="6"/>
  <c r="A402" i="6"/>
  <c r="Z401" i="6"/>
  <c r="Y401" i="6"/>
  <c r="X401" i="6"/>
  <c r="L401" i="6"/>
  <c r="Q401" i="6" s="1"/>
  <c r="AB400" i="6"/>
  <c r="K400" i="6"/>
  <c r="J400" i="6"/>
  <c r="Y400" i="6"/>
  <c r="AA400" i="6"/>
  <c r="H400" i="6"/>
  <c r="F400" i="6"/>
  <c r="V400" i="6"/>
  <c r="T400" i="6"/>
  <c r="U400" i="6"/>
  <c r="S400" i="6"/>
  <c r="E400" i="6"/>
  <c r="D400" i="6"/>
  <c r="C400" i="6"/>
  <c r="B400" i="6"/>
  <c r="A400" i="6"/>
  <c r="L399" i="6"/>
  <c r="G399" i="6"/>
  <c r="E399" i="6"/>
  <c r="J398" i="6"/>
  <c r="E398" i="6"/>
  <c r="J397" i="6"/>
  <c r="E397" i="6"/>
  <c r="K396" i="6"/>
  <c r="J396" i="6"/>
  <c r="H396" i="6"/>
  <c r="G396" i="6"/>
  <c r="F396" i="6"/>
  <c r="K395" i="6"/>
  <c r="J395" i="6"/>
  <c r="R395" i="6"/>
  <c r="H395" i="6"/>
  <c r="G395" i="6"/>
  <c r="F395" i="6"/>
  <c r="K394" i="6"/>
  <c r="J394" i="6"/>
  <c r="H394" i="6"/>
  <c r="G394" i="6"/>
  <c r="F394" i="6"/>
  <c r="K393" i="6"/>
  <c r="J393" i="6"/>
  <c r="H393" i="6"/>
  <c r="R393" i="6" s="1"/>
  <c r="G393" i="6"/>
  <c r="F393" i="6"/>
  <c r="V392" i="6"/>
  <c r="K398" i="6" s="1"/>
  <c r="T392" i="6"/>
  <c r="K397" i="6" s="1"/>
  <c r="U392" i="6"/>
  <c r="H398" i="6" s="1"/>
  <c r="S392" i="6"/>
  <c r="F392" i="6"/>
  <c r="E392" i="6"/>
  <c r="D392" i="6"/>
  <c r="I392" i="6"/>
  <c r="C392" i="6"/>
  <c r="B392" i="6"/>
  <c r="A392" i="6"/>
  <c r="Z391" i="6"/>
  <c r="Y391" i="6"/>
  <c r="X391" i="6"/>
  <c r="L391" i="6"/>
  <c r="Q391" i="6" s="1"/>
  <c r="J391" i="6"/>
  <c r="P391" i="6" s="1"/>
  <c r="G391" i="6"/>
  <c r="W391" i="6" s="1"/>
  <c r="K390" i="6"/>
  <c r="J390" i="6"/>
  <c r="H390" i="6"/>
  <c r="G390" i="6"/>
  <c r="F390" i="6"/>
  <c r="V389" i="6"/>
  <c r="T389" i="6"/>
  <c r="U389" i="6"/>
  <c r="S389" i="6"/>
  <c r="F389" i="6"/>
  <c r="E389" i="6"/>
  <c r="D389" i="6"/>
  <c r="I389" i="6"/>
  <c r="C389" i="6"/>
  <c r="B389" i="6"/>
  <c r="A389" i="6"/>
  <c r="Z388" i="6"/>
  <c r="Y388" i="6"/>
  <c r="X388" i="6"/>
  <c r="L388" i="6"/>
  <c r="Q388" i="6" s="1"/>
  <c r="J388" i="6"/>
  <c r="P388" i="6" s="1"/>
  <c r="G388" i="6"/>
  <c r="W388" i="6" s="1"/>
  <c r="K387" i="6"/>
  <c r="J387" i="6"/>
  <c r="H387" i="6"/>
  <c r="G387" i="6"/>
  <c r="F387" i="6"/>
  <c r="V386" i="6"/>
  <c r="T386" i="6"/>
  <c r="U386" i="6"/>
  <c r="S386" i="6"/>
  <c r="F386" i="6"/>
  <c r="E386" i="6"/>
  <c r="D386" i="6"/>
  <c r="I386" i="6"/>
  <c r="C386" i="6"/>
  <c r="B386" i="6"/>
  <c r="A386" i="6"/>
  <c r="Z385" i="6"/>
  <c r="Y385" i="6"/>
  <c r="X385" i="6"/>
  <c r="L385" i="6"/>
  <c r="Q385" i="6" s="1"/>
  <c r="AB384" i="6"/>
  <c r="K384" i="6"/>
  <c r="J384" i="6"/>
  <c r="Y384" i="6"/>
  <c r="AA384" i="6"/>
  <c r="H384" i="6"/>
  <c r="F384" i="6"/>
  <c r="V384" i="6"/>
  <c r="T384" i="6"/>
  <c r="U384" i="6"/>
  <c r="S384" i="6"/>
  <c r="E384" i="6"/>
  <c r="D384" i="6"/>
  <c r="C384" i="6"/>
  <c r="B384" i="6"/>
  <c r="A384" i="6"/>
  <c r="AB383" i="6"/>
  <c r="K383" i="6"/>
  <c r="J383" i="6"/>
  <c r="Y383" i="6"/>
  <c r="AA383" i="6"/>
  <c r="H383" i="6"/>
  <c r="F383" i="6"/>
  <c r="V383" i="6"/>
  <c r="T383" i="6"/>
  <c r="U383" i="6"/>
  <c r="S383" i="6"/>
  <c r="E383" i="6"/>
  <c r="D383" i="6"/>
  <c r="C383" i="6"/>
  <c r="B383" i="6"/>
  <c r="A383" i="6"/>
  <c r="L382" i="6"/>
  <c r="G382" i="6"/>
  <c r="E382" i="6"/>
  <c r="J381" i="6"/>
  <c r="E381" i="6"/>
  <c r="J380" i="6"/>
  <c r="E380" i="6"/>
  <c r="K379" i="6"/>
  <c r="J379" i="6"/>
  <c r="H379" i="6"/>
  <c r="G379" i="6"/>
  <c r="F379" i="6"/>
  <c r="K378" i="6"/>
  <c r="J378" i="6"/>
  <c r="H378" i="6"/>
  <c r="R378" i="6" s="1"/>
  <c r="G378" i="6"/>
  <c r="F378" i="6"/>
  <c r="K377" i="6"/>
  <c r="J377" i="6"/>
  <c r="H377" i="6"/>
  <c r="G377" i="6"/>
  <c r="F377" i="6"/>
  <c r="K376" i="6"/>
  <c r="J376" i="6"/>
  <c r="H376" i="6"/>
  <c r="R376" i="6" s="1"/>
  <c r="G376" i="6"/>
  <c r="F376" i="6"/>
  <c r="C375" i="6"/>
  <c r="V374" i="6"/>
  <c r="K381" i="6" s="1"/>
  <c r="T374" i="6"/>
  <c r="U374" i="6"/>
  <c r="S374" i="6"/>
  <c r="F374" i="6"/>
  <c r="E374" i="6"/>
  <c r="D374" i="6"/>
  <c r="I374" i="6"/>
  <c r="C374" i="6"/>
  <c r="B374" i="6"/>
  <c r="A374" i="6"/>
  <c r="Z373" i="6"/>
  <c r="Y373" i="6"/>
  <c r="X373" i="6"/>
  <c r="L373" i="6"/>
  <c r="Q373" i="6" s="1"/>
  <c r="L372" i="6"/>
  <c r="G372" i="6"/>
  <c r="E372" i="6"/>
  <c r="J371" i="6"/>
  <c r="E371" i="6"/>
  <c r="J370" i="6"/>
  <c r="E370" i="6"/>
  <c r="K369" i="6"/>
  <c r="J369" i="6"/>
  <c r="H369" i="6"/>
  <c r="G369" i="6"/>
  <c r="F369" i="6"/>
  <c r="K368" i="6"/>
  <c r="J368" i="6"/>
  <c r="R368" i="6"/>
  <c r="H368" i="6"/>
  <c r="G368" i="6"/>
  <c r="F368" i="6"/>
  <c r="K367" i="6"/>
  <c r="J367" i="6"/>
  <c r="H367" i="6"/>
  <c r="G367" i="6"/>
  <c r="F367" i="6"/>
  <c r="K366" i="6"/>
  <c r="J366" i="6"/>
  <c r="R366" i="6"/>
  <c r="H366" i="6"/>
  <c r="G366" i="6"/>
  <c r="F366" i="6"/>
  <c r="C365" i="6"/>
  <c r="V364" i="6"/>
  <c r="K371" i="6" s="1"/>
  <c r="T364" i="6"/>
  <c r="K370" i="6" s="1"/>
  <c r="U364" i="6"/>
  <c r="H371" i="6" s="1"/>
  <c r="G373" i="6" s="1"/>
  <c r="O373" i="6" s="1"/>
  <c r="S364" i="6"/>
  <c r="H370" i="6" s="1"/>
  <c r="F364" i="6"/>
  <c r="E364" i="6"/>
  <c r="D364" i="6"/>
  <c r="I364" i="6"/>
  <c r="C364" i="6"/>
  <c r="B364" i="6"/>
  <c r="A364" i="6"/>
  <c r="Z363" i="6"/>
  <c r="Y363" i="6"/>
  <c r="X363" i="6"/>
  <c r="Q363" i="6"/>
  <c r="L363" i="6"/>
  <c r="L362" i="6"/>
  <c r="G362" i="6"/>
  <c r="E362" i="6"/>
  <c r="J361" i="6"/>
  <c r="E361" i="6"/>
  <c r="J360" i="6"/>
  <c r="E360" i="6"/>
  <c r="K359" i="6"/>
  <c r="J359" i="6"/>
  <c r="H359" i="6"/>
  <c r="G359" i="6"/>
  <c r="F359" i="6"/>
  <c r="K358" i="6"/>
  <c r="J358" i="6"/>
  <c r="R358" i="6"/>
  <c r="H358" i="6"/>
  <c r="G358" i="6"/>
  <c r="F358" i="6"/>
  <c r="K357" i="6"/>
  <c r="J357" i="6"/>
  <c r="H357" i="6"/>
  <c r="G357" i="6"/>
  <c r="F357" i="6"/>
  <c r="K356" i="6"/>
  <c r="J356" i="6"/>
  <c r="H356" i="6"/>
  <c r="R356" i="6" s="1"/>
  <c r="G356" i="6"/>
  <c r="F356" i="6"/>
  <c r="C355" i="6"/>
  <c r="V354" i="6"/>
  <c r="K361" i="6" s="1"/>
  <c r="T354" i="6"/>
  <c r="K360" i="6" s="1"/>
  <c r="U354" i="6"/>
  <c r="H361" i="6" s="1"/>
  <c r="S354" i="6"/>
  <c r="H360" i="6" s="1"/>
  <c r="G363" i="6" s="1"/>
  <c r="F354" i="6"/>
  <c r="E354" i="6"/>
  <c r="D354" i="6"/>
  <c r="I354" i="6"/>
  <c r="C354" i="6"/>
  <c r="B354" i="6"/>
  <c r="A354" i="6"/>
  <c r="Z353" i="6"/>
  <c r="Y353" i="6"/>
  <c r="X353" i="6"/>
  <c r="L353" i="6"/>
  <c r="Q353" i="6" s="1"/>
  <c r="L352" i="6"/>
  <c r="G352" i="6"/>
  <c r="E352" i="6"/>
  <c r="J351" i="6"/>
  <c r="E351" i="6"/>
  <c r="J350" i="6"/>
  <c r="E350" i="6"/>
  <c r="K349" i="6"/>
  <c r="J349" i="6"/>
  <c r="H349" i="6"/>
  <c r="G349" i="6"/>
  <c r="F349" i="6"/>
  <c r="K348" i="6"/>
  <c r="J348" i="6"/>
  <c r="H348" i="6"/>
  <c r="R348" i="6" s="1"/>
  <c r="G348" i="6"/>
  <c r="F348" i="6"/>
  <c r="K347" i="6"/>
  <c r="J347" i="6"/>
  <c r="H347" i="6"/>
  <c r="G347" i="6"/>
  <c r="F347" i="6"/>
  <c r="K346" i="6"/>
  <c r="J346" i="6"/>
  <c r="H346" i="6"/>
  <c r="R346" i="6" s="1"/>
  <c r="G346" i="6"/>
  <c r="F346" i="6"/>
  <c r="C345" i="6"/>
  <c r="V344" i="6"/>
  <c r="K351" i="6" s="1"/>
  <c r="T344" i="6"/>
  <c r="K350" i="6" s="1"/>
  <c r="U344" i="6"/>
  <c r="H351" i="6" s="1"/>
  <c r="G353" i="6" s="1"/>
  <c r="S344" i="6"/>
  <c r="H350" i="6" s="1"/>
  <c r="F344" i="6"/>
  <c r="E344" i="6"/>
  <c r="D344" i="6"/>
  <c r="I344" i="6"/>
  <c r="C344" i="6"/>
  <c r="B344" i="6"/>
  <c r="A344" i="6"/>
  <c r="Z343" i="6"/>
  <c r="Y343" i="6"/>
  <c r="X343" i="6"/>
  <c r="L343" i="6"/>
  <c r="Q343" i="6" s="1"/>
  <c r="L342" i="6"/>
  <c r="G342" i="6"/>
  <c r="E342" i="6"/>
  <c r="J341" i="6"/>
  <c r="E341" i="6"/>
  <c r="J340" i="6"/>
  <c r="E340" i="6"/>
  <c r="K339" i="6"/>
  <c r="J339" i="6"/>
  <c r="H339" i="6"/>
  <c r="G339" i="6"/>
  <c r="F339" i="6"/>
  <c r="K338" i="6"/>
  <c r="J338" i="6"/>
  <c r="H338" i="6"/>
  <c r="R338" i="6" s="1"/>
  <c r="G338" i="6"/>
  <c r="F338" i="6"/>
  <c r="K337" i="6"/>
  <c r="J337" i="6"/>
  <c r="H337" i="6"/>
  <c r="G337" i="6"/>
  <c r="F337" i="6"/>
  <c r="K336" i="6"/>
  <c r="J336" i="6"/>
  <c r="R336" i="6"/>
  <c r="H336" i="6"/>
  <c r="G336" i="6"/>
  <c r="F336" i="6"/>
  <c r="C335" i="6"/>
  <c r="V334" i="6"/>
  <c r="K341" i="6" s="1"/>
  <c r="T334" i="6"/>
  <c r="K340" i="6" s="1"/>
  <c r="U334" i="6"/>
  <c r="H341" i="6" s="1"/>
  <c r="S334" i="6"/>
  <c r="H340" i="6" s="1"/>
  <c r="F334" i="6"/>
  <c r="E334" i="6"/>
  <c r="D334" i="6"/>
  <c r="I334" i="6"/>
  <c r="C334" i="6"/>
  <c r="B334" i="6"/>
  <c r="A334" i="6"/>
  <c r="Z333" i="6"/>
  <c r="Y333" i="6"/>
  <c r="X333" i="6"/>
  <c r="L333" i="6"/>
  <c r="Q333" i="6" s="1"/>
  <c r="J333" i="6"/>
  <c r="P333" i="6" s="1"/>
  <c r="G333" i="6"/>
  <c r="O333" i="6" s="1"/>
  <c r="K332" i="6"/>
  <c r="J332" i="6"/>
  <c r="H332" i="6"/>
  <c r="G332" i="6"/>
  <c r="F332" i="6"/>
  <c r="V331" i="6"/>
  <c r="T331" i="6"/>
  <c r="U331" i="6"/>
  <c r="S331" i="6"/>
  <c r="F331" i="6"/>
  <c r="E331" i="6"/>
  <c r="D331" i="6"/>
  <c r="I331" i="6"/>
  <c r="C331" i="6"/>
  <c r="B331" i="6"/>
  <c r="A331" i="6"/>
  <c r="Z330" i="6"/>
  <c r="Y330" i="6"/>
  <c r="X330" i="6"/>
  <c r="L330" i="6"/>
  <c r="Q330" i="6" s="1"/>
  <c r="AB329" i="6"/>
  <c r="K329" i="6"/>
  <c r="J329" i="6"/>
  <c r="Y329" i="6"/>
  <c r="AA329" i="6"/>
  <c r="H329" i="6"/>
  <c r="F329" i="6"/>
  <c r="V329" i="6"/>
  <c r="T329" i="6"/>
  <c r="U329" i="6"/>
  <c r="S329" i="6"/>
  <c r="E329" i="6"/>
  <c r="D329" i="6"/>
  <c r="C329" i="6"/>
  <c r="B329" i="6"/>
  <c r="A329" i="6"/>
  <c r="L328" i="6"/>
  <c r="G328" i="6"/>
  <c r="E328" i="6"/>
  <c r="J327" i="6"/>
  <c r="E327" i="6"/>
  <c r="J326" i="6"/>
  <c r="E326" i="6"/>
  <c r="K325" i="6"/>
  <c r="J325" i="6"/>
  <c r="H325" i="6"/>
  <c r="G325" i="6"/>
  <c r="F325" i="6"/>
  <c r="K324" i="6"/>
  <c r="J324" i="6"/>
  <c r="H324" i="6"/>
  <c r="R324" i="6" s="1"/>
  <c r="G324" i="6"/>
  <c r="F324" i="6"/>
  <c r="K323" i="6"/>
  <c r="J323" i="6"/>
  <c r="H323" i="6"/>
  <c r="G323" i="6"/>
  <c r="F323" i="6"/>
  <c r="K322" i="6"/>
  <c r="J322" i="6"/>
  <c r="H322" i="6"/>
  <c r="R322" i="6" s="1"/>
  <c r="G322" i="6"/>
  <c r="F322" i="6"/>
  <c r="C321" i="6"/>
  <c r="V320" i="6"/>
  <c r="T320" i="6"/>
  <c r="U320" i="6"/>
  <c r="H327" i="6" s="1"/>
  <c r="S320" i="6"/>
  <c r="H326" i="6" s="1"/>
  <c r="G330" i="6" s="1"/>
  <c r="O330" i="6" s="1"/>
  <c r="F320" i="6"/>
  <c r="E320" i="6"/>
  <c r="D320" i="6"/>
  <c r="I320" i="6"/>
  <c r="C320" i="6"/>
  <c r="B320" i="6"/>
  <c r="A320" i="6"/>
  <c r="AE319" i="6"/>
  <c r="A319" i="6"/>
  <c r="J316" i="6"/>
  <c r="C316" i="6"/>
  <c r="J315" i="6"/>
  <c r="C315" i="6"/>
  <c r="J314" i="6"/>
  <c r="C314" i="6"/>
  <c r="J313" i="6"/>
  <c r="C313" i="6"/>
  <c r="J312" i="6"/>
  <c r="C312" i="6"/>
  <c r="J311" i="6"/>
  <c r="C311" i="6"/>
  <c r="J310" i="6"/>
  <c r="C310" i="6"/>
  <c r="J309" i="6"/>
  <c r="C309" i="6"/>
  <c r="AG307" i="6"/>
  <c r="A307" i="6"/>
  <c r="Z305" i="6"/>
  <c r="Y305" i="6"/>
  <c r="X305" i="6"/>
  <c r="P305" i="6"/>
  <c r="L305" i="6"/>
  <c r="Q305" i="6" s="1"/>
  <c r="J305" i="6"/>
  <c r="G305" i="6"/>
  <c r="O305" i="6" s="1"/>
  <c r="K304" i="6"/>
  <c r="J304" i="6"/>
  <c r="H304" i="6"/>
  <c r="G304" i="6"/>
  <c r="F304" i="6"/>
  <c r="V303" i="6"/>
  <c r="T303" i="6"/>
  <c r="U303" i="6"/>
  <c r="S303" i="6"/>
  <c r="F303" i="6"/>
  <c r="E303" i="6"/>
  <c r="D303" i="6"/>
  <c r="I303" i="6"/>
  <c r="C303" i="6"/>
  <c r="B303" i="6"/>
  <c r="A303" i="6"/>
  <c r="Z302" i="6"/>
  <c r="Y302" i="6"/>
  <c r="X302" i="6"/>
  <c r="L302" i="6"/>
  <c r="Q302" i="6" s="1"/>
  <c r="J302" i="6"/>
  <c r="P302" i="6" s="1"/>
  <c r="G302" i="6"/>
  <c r="O302" i="6" s="1"/>
  <c r="K301" i="6"/>
  <c r="J301" i="6"/>
  <c r="H301" i="6"/>
  <c r="G301" i="6"/>
  <c r="F301" i="6"/>
  <c r="V300" i="6"/>
  <c r="T300" i="6"/>
  <c r="U300" i="6"/>
  <c r="S300" i="6"/>
  <c r="F300" i="6"/>
  <c r="E300" i="6"/>
  <c r="D300" i="6"/>
  <c r="I300" i="6"/>
  <c r="C300" i="6"/>
  <c r="B300" i="6"/>
  <c r="A300" i="6"/>
  <c r="Z299" i="6"/>
  <c r="Y299" i="6"/>
  <c r="X299" i="6"/>
  <c r="L299" i="6"/>
  <c r="Q299" i="6" s="1"/>
  <c r="J299" i="6"/>
  <c r="P299" i="6" s="1"/>
  <c r="G299" i="6"/>
  <c r="O299" i="6" s="1"/>
  <c r="K298" i="6"/>
  <c r="J298" i="6"/>
  <c r="H298" i="6"/>
  <c r="G298" i="6"/>
  <c r="F298" i="6"/>
  <c r="V297" i="6"/>
  <c r="T297" i="6"/>
  <c r="U297" i="6"/>
  <c r="S297" i="6"/>
  <c r="F297" i="6"/>
  <c r="E297" i="6"/>
  <c r="D297" i="6"/>
  <c r="I297" i="6"/>
  <c r="C297" i="6"/>
  <c r="B297" i="6"/>
  <c r="A297" i="6"/>
  <c r="Z296" i="6"/>
  <c r="Y296" i="6"/>
  <c r="X296" i="6"/>
  <c r="L296" i="6"/>
  <c r="Q296" i="6" s="1"/>
  <c r="AB295" i="6"/>
  <c r="K295" i="6"/>
  <c r="J295" i="6"/>
  <c r="Y295" i="6"/>
  <c r="AA295" i="6"/>
  <c r="H295" i="6"/>
  <c r="F295" i="6"/>
  <c r="V295" i="6"/>
  <c r="T295" i="6"/>
  <c r="U295" i="6"/>
  <c r="S295" i="6"/>
  <c r="E295" i="6"/>
  <c r="D295" i="6"/>
  <c r="C295" i="6"/>
  <c r="B295" i="6"/>
  <c r="A295" i="6"/>
  <c r="L294" i="6"/>
  <c r="G294" i="6"/>
  <c r="E294" i="6"/>
  <c r="J293" i="6"/>
  <c r="E293" i="6"/>
  <c r="J292" i="6"/>
  <c r="E292" i="6"/>
  <c r="K291" i="6"/>
  <c r="J291" i="6"/>
  <c r="H291" i="6"/>
  <c r="G291" i="6"/>
  <c r="F291" i="6"/>
  <c r="K290" i="6"/>
  <c r="J290" i="6"/>
  <c r="H290" i="6"/>
  <c r="R290" i="6" s="1"/>
  <c r="G290" i="6"/>
  <c r="F290" i="6"/>
  <c r="K289" i="6"/>
  <c r="J289" i="6"/>
  <c r="H289" i="6"/>
  <c r="G289" i="6"/>
  <c r="F289" i="6"/>
  <c r="K288" i="6"/>
  <c r="J288" i="6"/>
  <c r="H288" i="6"/>
  <c r="R288" i="6" s="1"/>
  <c r="G288" i="6"/>
  <c r="F288" i="6"/>
  <c r="C287" i="6"/>
  <c r="V286" i="6"/>
  <c r="T286" i="6"/>
  <c r="K292" i="6" s="1"/>
  <c r="U286" i="6"/>
  <c r="S286" i="6"/>
  <c r="F286" i="6"/>
  <c r="E286" i="6"/>
  <c r="D286" i="6"/>
  <c r="I286" i="6"/>
  <c r="C286" i="6"/>
  <c r="B286" i="6"/>
  <c r="A286" i="6"/>
  <c r="Z285" i="6"/>
  <c r="Y285" i="6"/>
  <c r="X285" i="6"/>
  <c r="W285" i="6"/>
  <c r="Q285" i="6"/>
  <c r="O285" i="6"/>
  <c r="L285" i="6"/>
  <c r="J285" i="6"/>
  <c r="P285" i="6" s="1"/>
  <c r="G285" i="6"/>
  <c r="K284" i="6"/>
  <c r="J284" i="6"/>
  <c r="H284" i="6"/>
  <c r="G284" i="6"/>
  <c r="F284" i="6"/>
  <c r="V283" i="6"/>
  <c r="T283" i="6"/>
  <c r="U283" i="6"/>
  <c r="S283" i="6"/>
  <c r="F283" i="6"/>
  <c r="E283" i="6"/>
  <c r="D283" i="6"/>
  <c r="I283" i="6"/>
  <c r="C283" i="6"/>
  <c r="B283" i="6"/>
  <c r="A283" i="6"/>
  <c r="Z282" i="6"/>
  <c r="Y282" i="6"/>
  <c r="X282" i="6"/>
  <c r="Q282" i="6"/>
  <c r="L282" i="6"/>
  <c r="AB281" i="6"/>
  <c r="K281" i="6"/>
  <c r="J281" i="6"/>
  <c r="Y281" i="6"/>
  <c r="AA281" i="6"/>
  <c r="H281" i="6"/>
  <c r="F281" i="6"/>
  <c r="V281" i="6"/>
  <c r="T281" i="6"/>
  <c r="U281" i="6"/>
  <c r="S281" i="6"/>
  <c r="E281" i="6"/>
  <c r="D281" i="6"/>
  <c r="C281" i="6"/>
  <c r="B281" i="6"/>
  <c r="A281" i="6"/>
  <c r="L280" i="6"/>
  <c r="G280" i="6"/>
  <c r="E280" i="6"/>
  <c r="J279" i="6"/>
  <c r="E279" i="6"/>
  <c r="J278" i="6"/>
  <c r="E278" i="6"/>
  <c r="K277" i="6"/>
  <c r="J277" i="6"/>
  <c r="H277" i="6"/>
  <c r="G277" i="6"/>
  <c r="F277" i="6"/>
  <c r="K276" i="6"/>
  <c r="J276" i="6"/>
  <c r="R276" i="6"/>
  <c r="H276" i="6"/>
  <c r="G276" i="6"/>
  <c r="F276" i="6"/>
  <c r="K275" i="6"/>
  <c r="J275" i="6"/>
  <c r="H275" i="6"/>
  <c r="G275" i="6"/>
  <c r="F275" i="6"/>
  <c r="K274" i="6"/>
  <c r="J274" i="6"/>
  <c r="H274" i="6"/>
  <c r="R274" i="6" s="1"/>
  <c r="G274" i="6"/>
  <c r="F274" i="6"/>
  <c r="V273" i="6"/>
  <c r="K279" i="6" s="1"/>
  <c r="T273" i="6"/>
  <c r="K278" i="6" s="1"/>
  <c r="U273" i="6"/>
  <c r="H279" i="6" s="1"/>
  <c r="S273" i="6"/>
  <c r="H278" i="6" s="1"/>
  <c r="F273" i="6"/>
  <c r="E273" i="6"/>
  <c r="D273" i="6"/>
  <c r="I273" i="6"/>
  <c r="C273" i="6"/>
  <c r="B273" i="6"/>
  <c r="A273" i="6"/>
  <c r="Z272" i="6"/>
  <c r="Y272" i="6"/>
  <c r="X272" i="6"/>
  <c r="L272" i="6"/>
  <c r="Q272" i="6" s="1"/>
  <c r="J272" i="6"/>
  <c r="P272" i="6" s="1"/>
  <c r="G272" i="6"/>
  <c r="W272" i="6" s="1"/>
  <c r="K271" i="6"/>
  <c r="J271" i="6"/>
  <c r="H271" i="6"/>
  <c r="G271" i="6"/>
  <c r="F271" i="6"/>
  <c r="V270" i="6"/>
  <c r="T270" i="6"/>
  <c r="U270" i="6"/>
  <c r="S270" i="6"/>
  <c r="F270" i="6"/>
  <c r="E270" i="6"/>
  <c r="D270" i="6"/>
  <c r="I270" i="6"/>
  <c r="C270" i="6"/>
  <c r="B270" i="6"/>
  <c r="A270" i="6"/>
  <c r="Z269" i="6"/>
  <c r="Y269" i="6"/>
  <c r="X269" i="6"/>
  <c r="Q269" i="6"/>
  <c r="L269" i="6"/>
  <c r="AB268" i="6"/>
  <c r="K268" i="6"/>
  <c r="J268" i="6"/>
  <c r="Y268" i="6"/>
  <c r="AA268" i="6"/>
  <c r="H268" i="6"/>
  <c r="F268" i="6"/>
  <c r="V268" i="6"/>
  <c r="T268" i="6"/>
  <c r="U268" i="6"/>
  <c r="S268" i="6"/>
  <c r="E268" i="6"/>
  <c r="D268" i="6"/>
  <c r="C268" i="6"/>
  <c r="B268" i="6"/>
  <c r="A268" i="6"/>
  <c r="AB267" i="6"/>
  <c r="K267" i="6"/>
  <c r="J267" i="6"/>
  <c r="Y267" i="6"/>
  <c r="AA267" i="6"/>
  <c r="H267" i="6"/>
  <c r="F267" i="6"/>
  <c r="V267" i="6"/>
  <c r="T267" i="6"/>
  <c r="U267" i="6"/>
  <c r="S267" i="6"/>
  <c r="E267" i="6"/>
  <c r="D267" i="6"/>
  <c r="C267" i="6"/>
  <c r="B267" i="6"/>
  <c r="A267" i="6"/>
  <c r="L266" i="6"/>
  <c r="G266" i="6"/>
  <c r="E266" i="6"/>
  <c r="J265" i="6"/>
  <c r="E265" i="6"/>
  <c r="J264" i="6"/>
  <c r="E264" i="6"/>
  <c r="K263" i="6"/>
  <c r="J263" i="6"/>
  <c r="H263" i="6"/>
  <c r="R263" i="6" s="1"/>
  <c r="G263" i="6"/>
  <c r="F263" i="6"/>
  <c r="K262" i="6"/>
  <c r="J262" i="6"/>
  <c r="H262" i="6"/>
  <c r="G262" i="6"/>
  <c r="F262" i="6"/>
  <c r="K261" i="6"/>
  <c r="J261" i="6"/>
  <c r="H261" i="6"/>
  <c r="R261" i="6" s="1"/>
  <c r="G261" i="6"/>
  <c r="F261" i="6"/>
  <c r="C260" i="6"/>
  <c r="V259" i="6"/>
  <c r="K265" i="6" s="1"/>
  <c r="T259" i="6"/>
  <c r="K264" i="6" s="1"/>
  <c r="J269" i="6" s="1"/>
  <c r="P269" i="6" s="1"/>
  <c r="U259" i="6"/>
  <c r="H265" i="6" s="1"/>
  <c r="S259" i="6"/>
  <c r="H264" i="6" s="1"/>
  <c r="F259" i="6"/>
  <c r="E259" i="6"/>
  <c r="D259" i="6"/>
  <c r="I259" i="6"/>
  <c r="C259" i="6"/>
  <c r="B259" i="6"/>
  <c r="A259" i="6"/>
  <c r="Z258" i="6"/>
  <c r="Y258" i="6"/>
  <c r="X258" i="6"/>
  <c r="Q258" i="6"/>
  <c r="L258" i="6"/>
  <c r="J258" i="6"/>
  <c r="P258" i="6" s="1"/>
  <c r="G258" i="6"/>
  <c r="W258" i="6" s="1"/>
  <c r="K257" i="6"/>
  <c r="J257" i="6"/>
  <c r="H257" i="6"/>
  <c r="G257" i="6"/>
  <c r="F257" i="6"/>
  <c r="V256" i="6"/>
  <c r="T256" i="6"/>
  <c r="U256" i="6"/>
  <c r="S256" i="6"/>
  <c r="F256" i="6"/>
  <c r="E256" i="6"/>
  <c r="D256" i="6"/>
  <c r="I256" i="6"/>
  <c r="C256" i="6"/>
  <c r="B256" i="6"/>
  <c r="A256" i="6"/>
  <c r="Z255" i="6"/>
  <c r="Y255" i="6"/>
  <c r="X255" i="6"/>
  <c r="L255" i="6"/>
  <c r="Q255" i="6" s="1"/>
  <c r="K251" i="6"/>
  <c r="AB254" i="6"/>
  <c r="K254" i="6"/>
  <c r="J254" i="6"/>
  <c r="Y254" i="6"/>
  <c r="AA254" i="6"/>
  <c r="H254" i="6"/>
  <c r="F254" i="6"/>
  <c r="V254" i="6"/>
  <c r="T254" i="6"/>
  <c r="U254" i="6"/>
  <c r="S254" i="6"/>
  <c r="E254" i="6"/>
  <c r="D254" i="6"/>
  <c r="C254" i="6"/>
  <c r="B254" i="6"/>
  <c r="A254" i="6"/>
  <c r="L253" i="6"/>
  <c r="G253" i="6"/>
  <c r="E253" i="6"/>
  <c r="J252" i="6"/>
  <c r="E252" i="6"/>
  <c r="J251" i="6"/>
  <c r="E251" i="6"/>
  <c r="K250" i="6"/>
  <c r="J250" i="6"/>
  <c r="H250" i="6"/>
  <c r="G250" i="6"/>
  <c r="F250" i="6"/>
  <c r="K249" i="6"/>
  <c r="J249" i="6"/>
  <c r="H249" i="6"/>
  <c r="R249" i="6" s="1"/>
  <c r="G249" i="6"/>
  <c r="F249" i="6"/>
  <c r="K248" i="6"/>
  <c r="J248" i="6"/>
  <c r="H248" i="6"/>
  <c r="G248" i="6"/>
  <c r="F248" i="6"/>
  <c r="K247" i="6"/>
  <c r="J247" i="6"/>
  <c r="H247" i="6"/>
  <c r="R247" i="6" s="1"/>
  <c r="G247" i="6"/>
  <c r="F247" i="6"/>
  <c r="C246" i="6"/>
  <c r="V245" i="6"/>
  <c r="K252" i="6" s="1"/>
  <c r="T245" i="6"/>
  <c r="U245" i="6"/>
  <c r="H252" i="6" s="1"/>
  <c r="S245" i="6"/>
  <c r="H251" i="6" s="1"/>
  <c r="F245" i="6"/>
  <c r="E245" i="6"/>
  <c r="D245" i="6"/>
  <c r="I245" i="6"/>
  <c r="C245" i="6"/>
  <c r="B245" i="6"/>
  <c r="A245" i="6"/>
  <c r="Z244" i="6"/>
  <c r="Y244" i="6"/>
  <c r="X244" i="6"/>
  <c r="P244" i="6"/>
  <c r="L244" i="6"/>
  <c r="Q244" i="6" s="1"/>
  <c r="J244" i="6"/>
  <c r="G244" i="6"/>
  <c r="O244" i="6" s="1"/>
  <c r="K243" i="6"/>
  <c r="J243" i="6"/>
  <c r="H243" i="6"/>
  <c r="G243" i="6"/>
  <c r="F243" i="6"/>
  <c r="V242" i="6"/>
  <c r="T242" i="6"/>
  <c r="U242" i="6"/>
  <c r="S242" i="6"/>
  <c r="F242" i="6"/>
  <c r="E242" i="6"/>
  <c r="D242" i="6"/>
  <c r="I242" i="6"/>
  <c r="C242" i="6"/>
  <c r="B242" i="6"/>
  <c r="A242" i="6"/>
  <c r="Z241" i="6"/>
  <c r="Y241" i="6"/>
  <c r="X241" i="6"/>
  <c r="L241" i="6"/>
  <c r="Q241" i="6" s="1"/>
  <c r="K239" i="6"/>
  <c r="L240" i="6"/>
  <c r="G240" i="6"/>
  <c r="E240" i="6"/>
  <c r="J239" i="6"/>
  <c r="E239" i="6"/>
  <c r="J238" i="6"/>
  <c r="E238" i="6"/>
  <c r="K237" i="6"/>
  <c r="J237" i="6"/>
  <c r="H237" i="6"/>
  <c r="G237" i="6"/>
  <c r="F237" i="6"/>
  <c r="K236" i="6"/>
  <c r="J236" i="6"/>
  <c r="H236" i="6"/>
  <c r="R236" i="6" s="1"/>
  <c r="G236" i="6"/>
  <c r="F236" i="6"/>
  <c r="K235" i="6"/>
  <c r="J235" i="6"/>
  <c r="H235" i="6"/>
  <c r="G235" i="6"/>
  <c r="F235" i="6"/>
  <c r="K234" i="6"/>
  <c r="J234" i="6"/>
  <c r="H234" i="6"/>
  <c r="R234" i="6" s="1"/>
  <c r="G234" i="6"/>
  <c r="F234" i="6"/>
  <c r="C233" i="6"/>
  <c r="V232" i="6"/>
  <c r="T232" i="6"/>
  <c r="K238" i="6" s="1"/>
  <c r="J241" i="6" s="1"/>
  <c r="P241" i="6" s="1"/>
  <c r="U232" i="6"/>
  <c r="H239" i="6" s="1"/>
  <c r="G241" i="6" s="1"/>
  <c r="S232" i="6"/>
  <c r="H238" i="6" s="1"/>
  <c r="F232" i="6"/>
  <c r="E232" i="6"/>
  <c r="D232" i="6"/>
  <c r="I232" i="6"/>
  <c r="C232" i="6"/>
  <c r="B232" i="6"/>
  <c r="A232" i="6"/>
  <c r="Z231" i="6"/>
  <c r="Y231" i="6"/>
  <c r="X231" i="6"/>
  <c r="W231" i="6"/>
  <c r="Q231" i="6"/>
  <c r="L231" i="6"/>
  <c r="J231" i="6"/>
  <c r="P231" i="6" s="1"/>
  <c r="G231" i="6"/>
  <c r="O231" i="6" s="1"/>
  <c r="K230" i="6"/>
  <c r="J230" i="6"/>
  <c r="H230" i="6"/>
  <c r="G230" i="6"/>
  <c r="F230" i="6"/>
  <c r="V229" i="6"/>
  <c r="T229" i="6"/>
  <c r="U229" i="6"/>
  <c r="S229" i="6"/>
  <c r="F229" i="6"/>
  <c r="E229" i="6"/>
  <c r="D229" i="6"/>
  <c r="I229" i="6"/>
  <c r="C229" i="6"/>
  <c r="B229" i="6"/>
  <c r="A229" i="6"/>
  <c r="Z228" i="6"/>
  <c r="Y228" i="6"/>
  <c r="X228" i="6"/>
  <c r="L228" i="6"/>
  <c r="Q228" i="6" s="1"/>
  <c r="L227" i="6"/>
  <c r="G227" i="6"/>
  <c r="E227" i="6"/>
  <c r="J226" i="6"/>
  <c r="E226" i="6"/>
  <c r="J225" i="6"/>
  <c r="E225" i="6"/>
  <c r="K224" i="6"/>
  <c r="J224" i="6"/>
  <c r="H224" i="6"/>
  <c r="R224" i="6" s="1"/>
  <c r="G224" i="6"/>
  <c r="F224" i="6"/>
  <c r="C223" i="6"/>
  <c r="V222" i="6"/>
  <c r="K226" i="6" s="1"/>
  <c r="T222" i="6"/>
  <c r="K225" i="6" s="1"/>
  <c r="U222" i="6"/>
  <c r="H226" i="6" s="1"/>
  <c r="S222" i="6"/>
  <c r="H225" i="6" s="1"/>
  <c r="F222" i="6"/>
  <c r="E222" i="6"/>
  <c r="D222" i="6"/>
  <c r="I222" i="6"/>
  <c r="C222" i="6"/>
  <c r="B222" i="6"/>
  <c r="A222" i="6"/>
  <c r="Z221" i="6"/>
  <c r="Y221" i="6"/>
  <c r="X221" i="6"/>
  <c r="L221" i="6"/>
  <c r="Q221" i="6" s="1"/>
  <c r="H219" i="6"/>
  <c r="L220" i="6"/>
  <c r="G220" i="6"/>
  <c r="E220" i="6"/>
  <c r="J219" i="6"/>
  <c r="E219" i="6"/>
  <c r="J218" i="6"/>
  <c r="E218" i="6"/>
  <c r="K217" i="6"/>
  <c r="J217" i="6"/>
  <c r="R217" i="6"/>
  <c r="H217" i="6"/>
  <c r="G217" i="6"/>
  <c r="F217" i="6"/>
  <c r="C216" i="6"/>
  <c r="V215" i="6"/>
  <c r="K219" i="6" s="1"/>
  <c r="T215" i="6"/>
  <c r="K218" i="6" s="1"/>
  <c r="U215" i="6"/>
  <c r="S215" i="6"/>
  <c r="H218" i="6" s="1"/>
  <c r="F215" i="6"/>
  <c r="E215" i="6"/>
  <c r="D215" i="6"/>
  <c r="I215" i="6"/>
  <c r="C215" i="6"/>
  <c r="B215" i="6"/>
  <c r="A215" i="6"/>
  <c r="AE214" i="6"/>
  <c r="A214" i="6"/>
  <c r="J211" i="6"/>
  <c r="C211" i="6"/>
  <c r="J210" i="6"/>
  <c r="C210" i="6"/>
  <c r="J209" i="6"/>
  <c r="C209" i="6"/>
  <c r="J208" i="6"/>
  <c r="C208" i="6"/>
  <c r="J207" i="6"/>
  <c r="C207" i="6"/>
  <c r="J206" i="6"/>
  <c r="C206" i="6"/>
  <c r="J205" i="6"/>
  <c r="C205" i="6"/>
  <c r="J204" i="6"/>
  <c r="C204" i="6"/>
  <c r="AG202" i="6"/>
  <c r="A202" i="6"/>
  <c r="J199" i="6"/>
  <c r="C199" i="6"/>
  <c r="J198" i="6"/>
  <c r="C198" i="6"/>
  <c r="J197" i="6"/>
  <c r="C197" i="6"/>
  <c r="J196" i="6"/>
  <c r="C196" i="6"/>
  <c r="J195" i="6"/>
  <c r="C195" i="6"/>
  <c r="J194" i="6"/>
  <c r="C194" i="6"/>
  <c r="J193" i="6"/>
  <c r="C193" i="6"/>
  <c r="J192" i="6"/>
  <c r="C192" i="6"/>
  <c r="AG190" i="6"/>
  <c r="A190" i="6"/>
  <c r="Z188" i="6"/>
  <c r="Y188" i="6"/>
  <c r="X188" i="6"/>
  <c r="L188" i="6"/>
  <c r="Q188" i="6" s="1"/>
  <c r="J188" i="6"/>
  <c r="P188" i="6" s="1"/>
  <c r="G188" i="6"/>
  <c r="W188" i="6" s="1"/>
  <c r="K187" i="6"/>
  <c r="J187" i="6"/>
  <c r="H187" i="6"/>
  <c r="G187" i="6"/>
  <c r="F187" i="6"/>
  <c r="V186" i="6"/>
  <c r="T186" i="6"/>
  <c r="U186" i="6"/>
  <c r="S186" i="6"/>
  <c r="F186" i="6"/>
  <c r="E186" i="6"/>
  <c r="D186" i="6"/>
  <c r="I186" i="6"/>
  <c r="C186" i="6"/>
  <c r="B186" i="6"/>
  <c r="A186" i="6"/>
  <c r="Z185" i="6"/>
  <c r="Y185" i="6"/>
  <c r="X185" i="6"/>
  <c r="L185" i="6"/>
  <c r="Q185" i="6" s="1"/>
  <c r="J185" i="6"/>
  <c r="P185" i="6" s="1"/>
  <c r="G185" i="6"/>
  <c r="W185" i="6" s="1"/>
  <c r="K184" i="6"/>
  <c r="J184" i="6"/>
  <c r="H184" i="6"/>
  <c r="G184" i="6"/>
  <c r="F184" i="6"/>
  <c r="V183" i="6"/>
  <c r="T183" i="6"/>
  <c r="U183" i="6"/>
  <c r="S183" i="6"/>
  <c r="F183" i="6"/>
  <c r="E183" i="6"/>
  <c r="D183" i="6"/>
  <c r="I183" i="6"/>
  <c r="C183" i="6"/>
  <c r="B183" i="6"/>
  <c r="A183" i="6"/>
  <c r="Z182" i="6"/>
  <c r="Y182" i="6"/>
  <c r="W182" i="6"/>
  <c r="L182" i="6"/>
  <c r="Q182" i="6" s="1"/>
  <c r="J182" i="6"/>
  <c r="P182" i="6" s="1"/>
  <c r="G182" i="6"/>
  <c r="O182" i="6" s="1"/>
  <c r="K181" i="6"/>
  <c r="J181" i="6"/>
  <c r="H181" i="6"/>
  <c r="G181" i="6"/>
  <c r="F181" i="6"/>
  <c r="V180" i="6"/>
  <c r="T180" i="6"/>
  <c r="U180" i="6"/>
  <c r="S180" i="6"/>
  <c r="F180" i="6"/>
  <c r="E180" i="6"/>
  <c r="D180" i="6"/>
  <c r="I180" i="6"/>
  <c r="C180" i="6"/>
  <c r="B180" i="6"/>
  <c r="A180" i="6"/>
  <c r="Z179" i="6"/>
  <c r="Y179" i="6"/>
  <c r="X179" i="6"/>
  <c r="L179" i="6"/>
  <c r="Q179" i="6" s="1"/>
  <c r="J179" i="6"/>
  <c r="P179" i="6" s="1"/>
  <c r="G179" i="6"/>
  <c r="W179" i="6" s="1"/>
  <c r="K178" i="6"/>
  <c r="J178" i="6"/>
  <c r="H178" i="6"/>
  <c r="G178" i="6"/>
  <c r="F178" i="6"/>
  <c r="V177" i="6"/>
  <c r="T177" i="6"/>
  <c r="U177" i="6"/>
  <c r="S177" i="6"/>
  <c r="F177" i="6"/>
  <c r="E177" i="6"/>
  <c r="D177" i="6"/>
  <c r="I177" i="6"/>
  <c r="C177" i="6"/>
  <c r="B177" i="6"/>
  <c r="A177" i="6"/>
  <c r="Z176" i="6"/>
  <c r="Y176" i="6"/>
  <c r="X176" i="6"/>
  <c r="L176" i="6"/>
  <c r="Q176" i="6" s="1"/>
  <c r="J176" i="6"/>
  <c r="P176" i="6" s="1"/>
  <c r="G176" i="6"/>
  <c r="O176" i="6" s="1"/>
  <c r="K175" i="6"/>
  <c r="J175" i="6"/>
  <c r="H175" i="6"/>
  <c r="G175" i="6"/>
  <c r="F175" i="6"/>
  <c r="V174" i="6"/>
  <c r="T174" i="6"/>
  <c r="U174" i="6"/>
  <c r="S174" i="6"/>
  <c r="F174" i="6"/>
  <c r="E174" i="6"/>
  <c r="D174" i="6"/>
  <c r="I174" i="6"/>
  <c r="C174" i="6"/>
  <c r="B174" i="6"/>
  <c r="A174" i="6"/>
  <c r="Z173" i="6"/>
  <c r="Y173" i="6"/>
  <c r="X173" i="6"/>
  <c r="L173" i="6"/>
  <c r="Q173" i="6" s="1"/>
  <c r="AB172" i="6"/>
  <c r="K172" i="6"/>
  <c r="J172" i="6"/>
  <c r="Y172" i="6"/>
  <c r="AA172" i="6"/>
  <c r="H172" i="6"/>
  <c r="F172" i="6"/>
  <c r="V172" i="6"/>
  <c r="T172" i="6"/>
  <c r="U172" i="6"/>
  <c r="S172" i="6"/>
  <c r="E172" i="6"/>
  <c r="D172" i="6"/>
  <c r="C172" i="6"/>
  <c r="B172" i="6"/>
  <c r="A172" i="6"/>
  <c r="L171" i="6"/>
  <c r="G171" i="6"/>
  <c r="E171" i="6"/>
  <c r="J170" i="6"/>
  <c r="E170" i="6"/>
  <c r="J169" i="6"/>
  <c r="E169" i="6"/>
  <c r="K168" i="6"/>
  <c r="J168" i="6"/>
  <c r="H168" i="6"/>
  <c r="G168" i="6"/>
  <c r="F168" i="6"/>
  <c r="K167" i="6"/>
  <c r="J167" i="6"/>
  <c r="H167" i="6"/>
  <c r="G167" i="6"/>
  <c r="F167" i="6"/>
  <c r="K166" i="6"/>
  <c r="J166" i="6"/>
  <c r="H166" i="6"/>
  <c r="R166" i="6" s="1"/>
  <c r="G166" i="6"/>
  <c r="F166" i="6"/>
  <c r="C165" i="6"/>
  <c r="V164" i="6"/>
  <c r="K170" i="6" s="1"/>
  <c r="T164" i="6"/>
  <c r="K169" i="6" s="1"/>
  <c r="U164" i="6"/>
  <c r="H170" i="6" s="1"/>
  <c r="S164" i="6"/>
  <c r="H169" i="6" s="1"/>
  <c r="F164" i="6"/>
  <c r="E164" i="6"/>
  <c r="D164" i="6"/>
  <c r="I164" i="6"/>
  <c r="C164" i="6"/>
  <c r="B164" i="6"/>
  <c r="A164" i="6"/>
  <c r="AE163" i="6"/>
  <c r="A163" i="6"/>
  <c r="J160" i="6"/>
  <c r="C160" i="6"/>
  <c r="J159" i="6"/>
  <c r="C159" i="6"/>
  <c r="J158" i="6"/>
  <c r="C158" i="6"/>
  <c r="J157" i="6"/>
  <c r="C157" i="6"/>
  <c r="J156" i="6"/>
  <c r="C156" i="6"/>
  <c r="J155" i="6"/>
  <c r="C155" i="6"/>
  <c r="J154" i="6"/>
  <c r="C154" i="6"/>
  <c r="J153" i="6"/>
  <c r="C153" i="6"/>
  <c r="AG151" i="6"/>
  <c r="A151" i="6"/>
  <c r="Z149" i="6"/>
  <c r="Y149" i="6"/>
  <c r="X149" i="6"/>
  <c r="L149" i="6"/>
  <c r="Q149" i="6" s="1"/>
  <c r="K146" i="6"/>
  <c r="AB148" i="6"/>
  <c r="K148" i="6"/>
  <c r="J148" i="6"/>
  <c r="Y148" i="6"/>
  <c r="AA148" i="6"/>
  <c r="H148" i="6"/>
  <c r="F148" i="6"/>
  <c r="V148" i="6"/>
  <c r="T148" i="6"/>
  <c r="U148" i="6"/>
  <c r="S148" i="6"/>
  <c r="E148" i="6"/>
  <c r="D148" i="6"/>
  <c r="C148" i="6"/>
  <c r="B148" i="6"/>
  <c r="A148" i="6"/>
  <c r="L147" i="6"/>
  <c r="G147" i="6"/>
  <c r="E147" i="6"/>
  <c r="J146" i="6"/>
  <c r="E146" i="6"/>
  <c r="J145" i="6"/>
  <c r="E145" i="6"/>
  <c r="K144" i="6"/>
  <c r="J144" i="6"/>
  <c r="H144" i="6"/>
  <c r="G144" i="6"/>
  <c r="F144" i="6"/>
  <c r="K143" i="6"/>
  <c r="J143" i="6"/>
  <c r="H143" i="6"/>
  <c r="R143" i="6" s="1"/>
  <c r="G143" i="6"/>
  <c r="F143" i="6"/>
  <c r="K142" i="6"/>
  <c r="J142" i="6"/>
  <c r="H142" i="6"/>
  <c r="G142" i="6"/>
  <c r="F142" i="6"/>
  <c r="K141" i="6"/>
  <c r="J141" i="6"/>
  <c r="H141" i="6"/>
  <c r="R141" i="6" s="1"/>
  <c r="G141" i="6"/>
  <c r="F141" i="6"/>
  <c r="V140" i="6"/>
  <c r="T140" i="6"/>
  <c r="K145" i="6" s="1"/>
  <c r="U140" i="6"/>
  <c r="H146" i="6" s="1"/>
  <c r="S140" i="6"/>
  <c r="H145" i="6" s="1"/>
  <c r="F140" i="6"/>
  <c r="E140" i="6"/>
  <c r="D140" i="6"/>
  <c r="I140" i="6"/>
  <c r="C140" i="6"/>
  <c r="B140" i="6"/>
  <c r="A140" i="6"/>
  <c r="Z139" i="6"/>
  <c r="Y139" i="6"/>
  <c r="X139" i="6"/>
  <c r="L139" i="6"/>
  <c r="Q139" i="6" s="1"/>
  <c r="J139" i="6"/>
  <c r="P139" i="6" s="1"/>
  <c r="G139" i="6"/>
  <c r="O139" i="6" s="1"/>
  <c r="K138" i="6"/>
  <c r="J138" i="6"/>
  <c r="H138" i="6"/>
  <c r="G138" i="6"/>
  <c r="F138" i="6"/>
  <c r="V137" i="6"/>
  <c r="T137" i="6"/>
  <c r="U137" i="6"/>
  <c r="S137" i="6"/>
  <c r="F137" i="6"/>
  <c r="E137" i="6"/>
  <c r="D137" i="6"/>
  <c r="I137" i="6"/>
  <c r="C137" i="6"/>
  <c r="B137" i="6"/>
  <c r="A137" i="6"/>
  <c r="Z136" i="6"/>
  <c r="Y136" i="6"/>
  <c r="X136" i="6"/>
  <c r="L136" i="6"/>
  <c r="Q136" i="6" s="1"/>
  <c r="J136" i="6"/>
  <c r="P136" i="6" s="1"/>
  <c r="G136" i="6"/>
  <c r="W136" i="6" s="1"/>
  <c r="K135" i="6"/>
  <c r="J135" i="6"/>
  <c r="H135" i="6"/>
  <c r="G135" i="6"/>
  <c r="F135" i="6"/>
  <c r="V134" i="6"/>
  <c r="T134" i="6"/>
  <c r="U134" i="6"/>
  <c r="S134" i="6"/>
  <c r="F134" i="6"/>
  <c r="E134" i="6"/>
  <c r="D134" i="6"/>
  <c r="I134" i="6"/>
  <c r="C134" i="6"/>
  <c r="B134" i="6"/>
  <c r="A134" i="6"/>
  <c r="Z133" i="6"/>
  <c r="Y133" i="6"/>
  <c r="X133" i="6"/>
  <c r="Q133" i="6"/>
  <c r="L133" i="6"/>
  <c r="J133" i="6"/>
  <c r="P133" i="6" s="1"/>
  <c r="G133" i="6"/>
  <c r="W133" i="6" s="1"/>
  <c r="K132" i="6"/>
  <c r="J132" i="6"/>
  <c r="H132" i="6"/>
  <c r="G132" i="6"/>
  <c r="F132" i="6"/>
  <c r="V131" i="6"/>
  <c r="T131" i="6"/>
  <c r="U131" i="6"/>
  <c r="S131" i="6"/>
  <c r="F131" i="6"/>
  <c r="E131" i="6"/>
  <c r="D131" i="6"/>
  <c r="I131" i="6"/>
  <c r="C131" i="6"/>
  <c r="B131" i="6"/>
  <c r="A131" i="6"/>
  <c r="Z130" i="6"/>
  <c r="Y130" i="6"/>
  <c r="X130" i="6"/>
  <c r="L130" i="6"/>
  <c r="Q130" i="6" s="1"/>
  <c r="J130" i="6"/>
  <c r="P130" i="6" s="1"/>
  <c r="G130" i="6"/>
  <c r="W130" i="6" s="1"/>
  <c r="K129" i="6"/>
  <c r="J129" i="6"/>
  <c r="H129" i="6"/>
  <c r="G129" i="6"/>
  <c r="F129" i="6"/>
  <c r="V128" i="6"/>
  <c r="T128" i="6"/>
  <c r="U128" i="6"/>
  <c r="S128" i="6"/>
  <c r="F128" i="6"/>
  <c r="E128" i="6"/>
  <c r="D128" i="6"/>
  <c r="I128" i="6"/>
  <c r="C128" i="6"/>
  <c r="B128" i="6"/>
  <c r="A128" i="6"/>
  <c r="Z127" i="6"/>
  <c r="Y127" i="6"/>
  <c r="W127" i="6"/>
  <c r="L127" i="6"/>
  <c r="Q127" i="6" s="1"/>
  <c r="AB126" i="6"/>
  <c r="K126" i="6"/>
  <c r="J126" i="6"/>
  <c r="Y126" i="6"/>
  <c r="AA126" i="6"/>
  <c r="H126" i="6"/>
  <c r="F126" i="6"/>
  <c r="V126" i="6"/>
  <c r="T126" i="6"/>
  <c r="U126" i="6"/>
  <c r="S126" i="6"/>
  <c r="E126" i="6"/>
  <c r="D126" i="6"/>
  <c r="C126" i="6"/>
  <c r="B126" i="6"/>
  <c r="A126" i="6"/>
  <c r="L125" i="6"/>
  <c r="G125" i="6"/>
  <c r="E125" i="6"/>
  <c r="J124" i="6"/>
  <c r="E124" i="6"/>
  <c r="J123" i="6"/>
  <c r="E123" i="6"/>
  <c r="K122" i="6"/>
  <c r="J122" i="6"/>
  <c r="H122" i="6"/>
  <c r="G122" i="6"/>
  <c r="F122" i="6"/>
  <c r="K121" i="6"/>
  <c r="J121" i="6"/>
  <c r="R121" i="6"/>
  <c r="H121" i="6"/>
  <c r="G121" i="6"/>
  <c r="F121" i="6"/>
  <c r="K120" i="6"/>
  <c r="J120" i="6"/>
  <c r="H120" i="6"/>
  <c r="G120" i="6"/>
  <c r="F120" i="6"/>
  <c r="K119" i="6"/>
  <c r="J119" i="6"/>
  <c r="H119" i="6"/>
  <c r="R119" i="6" s="1"/>
  <c r="G119" i="6"/>
  <c r="F119" i="6"/>
  <c r="V118" i="6"/>
  <c r="K124" i="6" s="1"/>
  <c r="T118" i="6"/>
  <c r="U118" i="6"/>
  <c r="H124" i="6" s="1"/>
  <c r="S118" i="6"/>
  <c r="F118" i="6"/>
  <c r="E118" i="6"/>
  <c r="D118" i="6"/>
  <c r="I118" i="6"/>
  <c r="C118" i="6"/>
  <c r="B118" i="6"/>
  <c r="A118" i="6"/>
  <c r="Z117" i="6"/>
  <c r="Y117" i="6"/>
  <c r="X117" i="6"/>
  <c r="L117" i="6"/>
  <c r="Q117" i="6" s="1"/>
  <c r="J117" i="6"/>
  <c r="P117" i="6" s="1"/>
  <c r="G117" i="6"/>
  <c r="W117" i="6" s="1"/>
  <c r="K116" i="6"/>
  <c r="J116" i="6"/>
  <c r="H116" i="6"/>
  <c r="G116" i="6"/>
  <c r="F116" i="6"/>
  <c r="V115" i="6"/>
  <c r="T115" i="6"/>
  <c r="U115" i="6"/>
  <c r="S115" i="6"/>
  <c r="F115" i="6"/>
  <c r="E115" i="6"/>
  <c r="D115" i="6"/>
  <c r="I115" i="6"/>
  <c r="C115" i="6"/>
  <c r="B115" i="6"/>
  <c r="A115" i="6"/>
  <c r="Z114" i="6"/>
  <c r="Y114" i="6"/>
  <c r="X114" i="6"/>
  <c r="L114" i="6"/>
  <c r="Q114" i="6" s="1"/>
  <c r="J114" i="6"/>
  <c r="P114" i="6" s="1"/>
  <c r="G114" i="6"/>
  <c r="O114" i="6" s="1"/>
  <c r="K113" i="6"/>
  <c r="J113" i="6"/>
  <c r="H113" i="6"/>
  <c r="G113" i="6"/>
  <c r="F113" i="6"/>
  <c r="V112" i="6"/>
  <c r="T112" i="6"/>
  <c r="U112" i="6"/>
  <c r="S112" i="6"/>
  <c r="F112" i="6"/>
  <c r="E112" i="6"/>
  <c r="D112" i="6"/>
  <c r="I112" i="6"/>
  <c r="C112" i="6"/>
  <c r="B112" i="6"/>
  <c r="A112" i="6"/>
  <c r="Z111" i="6"/>
  <c r="Y111" i="6"/>
  <c r="X111" i="6"/>
  <c r="L111" i="6"/>
  <c r="Q111" i="6" s="1"/>
  <c r="AB110" i="6"/>
  <c r="K110" i="6"/>
  <c r="J110" i="6"/>
  <c r="Y110" i="6"/>
  <c r="AA110" i="6"/>
  <c r="H110" i="6"/>
  <c r="F110" i="6"/>
  <c r="V110" i="6"/>
  <c r="T110" i="6"/>
  <c r="U110" i="6"/>
  <c r="S110" i="6"/>
  <c r="E110" i="6"/>
  <c r="D110" i="6"/>
  <c r="C110" i="6"/>
  <c r="B110" i="6"/>
  <c r="A110" i="6"/>
  <c r="AB109" i="6"/>
  <c r="K109" i="6"/>
  <c r="J109" i="6"/>
  <c r="Y109" i="6"/>
  <c r="AA109" i="6"/>
  <c r="H109" i="6"/>
  <c r="F109" i="6"/>
  <c r="V109" i="6"/>
  <c r="T109" i="6"/>
  <c r="U109" i="6"/>
  <c r="S109" i="6"/>
  <c r="E109" i="6"/>
  <c r="D109" i="6"/>
  <c r="C109" i="6"/>
  <c r="B109" i="6"/>
  <c r="A109" i="6"/>
  <c r="L108" i="6"/>
  <c r="G108" i="6"/>
  <c r="E108" i="6"/>
  <c r="J107" i="6"/>
  <c r="E107" i="6"/>
  <c r="J106" i="6"/>
  <c r="E106" i="6"/>
  <c r="K105" i="6"/>
  <c r="J105" i="6"/>
  <c r="H105" i="6"/>
  <c r="G105" i="6"/>
  <c r="F105" i="6"/>
  <c r="K104" i="6"/>
  <c r="J104" i="6"/>
  <c r="H104" i="6"/>
  <c r="R104" i="6" s="1"/>
  <c r="G104" i="6"/>
  <c r="F104" i="6"/>
  <c r="K103" i="6"/>
  <c r="J103" i="6"/>
  <c r="H103" i="6"/>
  <c r="G103" i="6"/>
  <c r="F103" i="6"/>
  <c r="K102" i="6"/>
  <c r="J102" i="6"/>
  <c r="H102" i="6"/>
  <c r="R102" i="6" s="1"/>
  <c r="G102" i="6"/>
  <c r="F102" i="6"/>
  <c r="C101" i="6"/>
  <c r="V100" i="6"/>
  <c r="K107" i="6" s="1"/>
  <c r="T100" i="6"/>
  <c r="U100" i="6"/>
  <c r="H107" i="6" s="1"/>
  <c r="S100" i="6"/>
  <c r="F100" i="6"/>
  <c r="E100" i="6"/>
  <c r="D100" i="6"/>
  <c r="I100" i="6"/>
  <c r="C100" i="6"/>
  <c r="B100" i="6"/>
  <c r="A100" i="6"/>
  <c r="AE99" i="6"/>
  <c r="A99" i="6"/>
  <c r="Z97" i="6"/>
  <c r="Y97" i="6"/>
  <c r="X97" i="6"/>
  <c r="L97" i="6"/>
  <c r="Q97" i="6" s="1"/>
  <c r="AB96" i="6"/>
  <c r="K96" i="6"/>
  <c r="J96" i="6"/>
  <c r="Y96" i="6"/>
  <c r="AA96" i="6"/>
  <c r="H96" i="6"/>
  <c r="F96" i="6"/>
  <c r="V96" i="6"/>
  <c r="T96" i="6"/>
  <c r="U96" i="6"/>
  <c r="S96" i="6"/>
  <c r="E96" i="6"/>
  <c r="D96" i="6"/>
  <c r="C96" i="6"/>
  <c r="B96" i="6"/>
  <c r="A96" i="6"/>
  <c r="L95" i="6"/>
  <c r="G95" i="6"/>
  <c r="E95" i="6"/>
  <c r="J94" i="6"/>
  <c r="E94" i="6"/>
  <c r="J93" i="6"/>
  <c r="E93" i="6"/>
  <c r="K92" i="6"/>
  <c r="J92" i="6"/>
  <c r="H92" i="6"/>
  <c r="G92" i="6"/>
  <c r="F92" i="6"/>
  <c r="K91" i="6"/>
  <c r="J91" i="6"/>
  <c r="H91" i="6"/>
  <c r="R91" i="6" s="1"/>
  <c r="G91" i="6"/>
  <c r="F91" i="6"/>
  <c r="K90" i="6"/>
  <c r="J90" i="6"/>
  <c r="H90" i="6"/>
  <c r="G90" i="6"/>
  <c r="F90" i="6"/>
  <c r="K89" i="6"/>
  <c r="J89" i="6"/>
  <c r="H89" i="6"/>
  <c r="R89" i="6" s="1"/>
  <c r="G89" i="6"/>
  <c r="F89" i="6"/>
  <c r="C88" i="6"/>
  <c r="V87" i="6"/>
  <c r="T87" i="6"/>
  <c r="K93" i="6" s="1"/>
  <c r="U87" i="6"/>
  <c r="H94" i="6" s="1"/>
  <c r="S87" i="6"/>
  <c r="H93" i="6" s="1"/>
  <c r="F87" i="6"/>
  <c r="E87" i="6"/>
  <c r="D87" i="6"/>
  <c r="I87" i="6"/>
  <c r="C87" i="6"/>
  <c r="B87" i="6"/>
  <c r="A87" i="6"/>
  <c r="AE86" i="6"/>
  <c r="A86" i="6"/>
  <c r="J83" i="6"/>
  <c r="C83" i="6"/>
  <c r="J82" i="6"/>
  <c r="C82" i="6"/>
  <c r="J81" i="6"/>
  <c r="C81" i="6"/>
  <c r="J80" i="6"/>
  <c r="C80" i="6"/>
  <c r="J79" i="6"/>
  <c r="C79" i="6"/>
  <c r="J78" i="6"/>
  <c r="C78" i="6"/>
  <c r="J77" i="6"/>
  <c r="C77" i="6"/>
  <c r="J76" i="6"/>
  <c r="C76" i="6"/>
  <c r="AG74" i="6"/>
  <c r="A74" i="6"/>
  <c r="Z72" i="6"/>
  <c r="Y72" i="6"/>
  <c r="X72" i="6"/>
  <c r="L72" i="6"/>
  <c r="Q72" i="6" s="1"/>
  <c r="L71" i="6"/>
  <c r="G71" i="6"/>
  <c r="E71" i="6"/>
  <c r="J70" i="6"/>
  <c r="E70" i="6"/>
  <c r="J69" i="6"/>
  <c r="E69" i="6"/>
  <c r="K68" i="6"/>
  <c r="J68" i="6"/>
  <c r="H68" i="6"/>
  <c r="R68" i="6" s="1"/>
  <c r="G68" i="6"/>
  <c r="F68" i="6"/>
  <c r="K67" i="6"/>
  <c r="J67" i="6"/>
  <c r="H67" i="6"/>
  <c r="G67" i="6"/>
  <c r="F67" i="6"/>
  <c r="K66" i="6"/>
  <c r="J66" i="6"/>
  <c r="H66" i="6"/>
  <c r="R66" i="6" s="1"/>
  <c r="G66" i="6"/>
  <c r="F66" i="6"/>
  <c r="C65" i="6"/>
  <c r="V64" i="6"/>
  <c r="K70" i="6" s="1"/>
  <c r="T64" i="6"/>
  <c r="K69" i="6" s="1"/>
  <c r="U64" i="6"/>
  <c r="H70" i="6" s="1"/>
  <c r="S64" i="6"/>
  <c r="H69" i="6" s="1"/>
  <c r="F64" i="6"/>
  <c r="E64" i="6"/>
  <c r="D64" i="6"/>
  <c r="I64" i="6"/>
  <c r="C64" i="6"/>
  <c r="B64" i="6"/>
  <c r="A64" i="6"/>
  <c r="Z63" i="6"/>
  <c r="Y63" i="6"/>
  <c r="X63" i="6"/>
  <c r="L63" i="6"/>
  <c r="Q63" i="6" s="1"/>
  <c r="L62" i="6"/>
  <c r="G62" i="6"/>
  <c r="E62" i="6"/>
  <c r="J61" i="6"/>
  <c r="E61" i="6"/>
  <c r="J60" i="6"/>
  <c r="E60" i="6"/>
  <c r="K59" i="6"/>
  <c r="J59" i="6"/>
  <c r="H59" i="6"/>
  <c r="R59" i="6" s="1"/>
  <c r="G59" i="6"/>
  <c r="F59" i="6"/>
  <c r="K58" i="6"/>
  <c r="J58" i="6"/>
  <c r="H58" i="6"/>
  <c r="G58" i="6"/>
  <c r="F58" i="6"/>
  <c r="K57" i="6"/>
  <c r="J57" i="6"/>
  <c r="H57" i="6"/>
  <c r="R57" i="6" s="1"/>
  <c r="G57" i="6"/>
  <c r="F57" i="6"/>
  <c r="C56" i="6"/>
  <c r="V55" i="6"/>
  <c r="K61" i="6" s="1"/>
  <c r="T55" i="6"/>
  <c r="K60" i="6" s="1"/>
  <c r="U55" i="6"/>
  <c r="H61" i="6" s="1"/>
  <c r="S55" i="6"/>
  <c r="H60" i="6" s="1"/>
  <c r="F55" i="6"/>
  <c r="E55" i="6"/>
  <c r="D55" i="6"/>
  <c r="I55" i="6"/>
  <c r="C55" i="6"/>
  <c r="B55" i="6"/>
  <c r="A55" i="6"/>
  <c r="Z54" i="6"/>
  <c r="Y54" i="6"/>
  <c r="X54" i="6"/>
  <c r="L54" i="6"/>
  <c r="Q54" i="6" s="1"/>
  <c r="L53" i="6"/>
  <c r="G53" i="6"/>
  <c r="E53" i="6"/>
  <c r="J52" i="6"/>
  <c r="E52" i="6"/>
  <c r="J51" i="6"/>
  <c r="E51" i="6"/>
  <c r="K50" i="6"/>
  <c r="J50" i="6"/>
  <c r="R50" i="6"/>
  <c r="H50" i="6"/>
  <c r="G50" i="6"/>
  <c r="F50" i="6"/>
  <c r="K49" i="6"/>
  <c r="J49" i="6"/>
  <c r="H49" i="6"/>
  <c r="G49" i="6"/>
  <c r="F49" i="6"/>
  <c r="K48" i="6"/>
  <c r="J48" i="6"/>
  <c r="H48" i="6"/>
  <c r="R48" i="6" s="1"/>
  <c r="G48" i="6"/>
  <c r="F48" i="6"/>
  <c r="C47" i="6"/>
  <c r="V46" i="6"/>
  <c r="K52" i="6" s="1"/>
  <c r="T46" i="6"/>
  <c r="K51" i="6" s="1"/>
  <c r="J54" i="6" s="1"/>
  <c r="P54" i="6" s="1"/>
  <c r="U46" i="6"/>
  <c r="H52" i="6" s="1"/>
  <c r="S46" i="6"/>
  <c r="H51" i="6" s="1"/>
  <c r="F46" i="6"/>
  <c r="E46" i="6"/>
  <c r="D46" i="6"/>
  <c r="I46" i="6"/>
  <c r="C46" i="6"/>
  <c r="B46" i="6"/>
  <c r="A46" i="6"/>
  <c r="Z45" i="6"/>
  <c r="Y45" i="6"/>
  <c r="X45" i="6"/>
  <c r="L45" i="6"/>
  <c r="Q45" i="6" s="1"/>
  <c r="H42" i="6"/>
  <c r="L44" i="6"/>
  <c r="G44" i="6"/>
  <c r="E44" i="6"/>
  <c r="J43" i="6"/>
  <c r="E43" i="6"/>
  <c r="J42" i="6"/>
  <c r="E42" i="6"/>
  <c r="K41" i="6"/>
  <c r="J41" i="6"/>
  <c r="H41" i="6"/>
  <c r="R41" i="6" s="1"/>
  <c r="G41" i="6"/>
  <c r="F41" i="6"/>
  <c r="C40" i="6"/>
  <c r="V39" i="6"/>
  <c r="K43" i="6" s="1"/>
  <c r="T39" i="6"/>
  <c r="K42" i="6" s="1"/>
  <c r="U39" i="6"/>
  <c r="H43" i="6" s="1"/>
  <c r="S39" i="6"/>
  <c r="F39" i="6"/>
  <c r="E39" i="6"/>
  <c r="D39" i="6"/>
  <c r="I39" i="6"/>
  <c r="C39" i="6"/>
  <c r="B39" i="6"/>
  <c r="A39" i="6"/>
  <c r="Z38" i="6"/>
  <c r="Y38" i="6"/>
  <c r="X38" i="6"/>
  <c r="L38" i="6"/>
  <c r="Q38" i="6" s="1"/>
  <c r="L37" i="6"/>
  <c r="G37" i="6"/>
  <c r="E37" i="6"/>
  <c r="J36" i="6"/>
  <c r="E36" i="6"/>
  <c r="J35" i="6"/>
  <c r="E35" i="6"/>
  <c r="K34" i="6"/>
  <c r="J34" i="6"/>
  <c r="H34" i="6"/>
  <c r="G34" i="6"/>
  <c r="F34" i="6"/>
  <c r="K33" i="6"/>
  <c r="J33" i="6"/>
  <c r="H33" i="6"/>
  <c r="R33" i="6" s="1"/>
  <c r="G33" i="6"/>
  <c r="F33" i="6"/>
  <c r="C32" i="6"/>
  <c r="V31" i="6"/>
  <c r="K36" i="6" s="1"/>
  <c r="T31" i="6"/>
  <c r="K35" i="6" s="1"/>
  <c r="U31" i="6"/>
  <c r="H36" i="6" s="1"/>
  <c r="S31" i="6"/>
  <c r="H35" i="6" s="1"/>
  <c r="F31" i="6"/>
  <c r="E31" i="6"/>
  <c r="D31" i="6"/>
  <c r="I31" i="6"/>
  <c r="C31" i="6"/>
  <c r="B31" i="6"/>
  <c r="A31" i="6"/>
  <c r="AE30" i="6"/>
  <c r="A30" i="6"/>
  <c r="AE14" i="6"/>
  <c r="A14" i="6"/>
  <c r="AD11" i="6"/>
  <c r="B11" i="6"/>
  <c r="AD9" i="6"/>
  <c r="B9" i="6"/>
  <c r="B7" i="6"/>
  <c r="H5" i="6"/>
  <c r="A1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1" i="3"/>
  <c r="Y1" i="3"/>
  <c r="CY1" i="3"/>
  <c r="CZ1" i="3"/>
  <c r="DA1" i="3"/>
  <c r="DB1" i="3"/>
  <c r="DC1" i="3"/>
  <c r="A2" i="3"/>
  <c r="Y2" i="3"/>
  <c r="CY2" i="3"/>
  <c r="CZ2" i="3"/>
  <c r="DB2" i="3" s="1"/>
  <c r="DA2" i="3"/>
  <c r="DC2" i="3"/>
  <c r="A3" i="3"/>
  <c r="Y3" i="3"/>
  <c r="CY3" i="3"/>
  <c r="CZ3" i="3"/>
  <c r="DB3" i="3" s="1"/>
  <c r="DA3" i="3"/>
  <c r="DC3" i="3"/>
  <c r="A4" i="3"/>
  <c r="Y4" i="3"/>
  <c r="CY4" i="3"/>
  <c r="CZ4" i="3"/>
  <c r="DA4" i="3"/>
  <c r="DB4" i="3"/>
  <c r="DC4" i="3"/>
  <c r="A5" i="3"/>
  <c r="Y5" i="3"/>
  <c r="CY5" i="3"/>
  <c r="CZ5" i="3"/>
  <c r="DA5" i="3"/>
  <c r="DB5" i="3"/>
  <c r="DC5" i="3"/>
  <c r="A6" i="3"/>
  <c r="Y6" i="3"/>
  <c r="CY6" i="3"/>
  <c r="CZ6" i="3"/>
  <c r="DB6" i="3" s="1"/>
  <c r="DA6" i="3"/>
  <c r="DC6" i="3"/>
  <c r="A7" i="3"/>
  <c r="Y7" i="3"/>
  <c r="CY7" i="3"/>
  <c r="CZ7" i="3"/>
  <c r="DB7" i="3" s="1"/>
  <c r="DA7" i="3"/>
  <c r="DC7" i="3"/>
  <c r="A8" i="3"/>
  <c r="Y8" i="3"/>
  <c r="CY8" i="3"/>
  <c r="CZ8" i="3"/>
  <c r="DA8" i="3"/>
  <c r="DB8" i="3"/>
  <c r="DC8" i="3"/>
  <c r="A9" i="3"/>
  <c r="Y9" i="3"/>
  <c r="CY9" i="3"/>
  <c r="CZ9" i="3"/>
  <c r="DA9" i="3"/>
  <c r="DB9" i="3"/>
  <c r="DC9" i="3"/>
  <c r="A10" i="3"/>
  <c r="Y10" i="3"/>
  <c r="CY10" i="3"/>
  <c r="CZ10" i="3"/>
  <c r="DB10" i="3" s="1"/>
  <c r="DA10" i="3"/>
  <c r="DC10" i="3"/>
  <c r="A11" i="3"/>
  <c r="Y11" i="3"/>
  <c r="CY11" i="3"/>
  <c r="CZ11" i="3"/>
  <c r="DB11" i="3" s="1"/>
  <c r="DA11" i="3"/>
  <c r="DC11" i="3"/>
  <c r="A12" i="3"/>
  <c r="Y12" i="3"/>
  <c r="CY12" i="3"/>
  <c r="CZ12" i="3"/>
  <c r="DA12" i="3"/>
  <c r="DB12" i="3"/>
  <c r="DC12" i="3"/>
  <c r="A13" i="3"/>
  <c r="Y13" i="3"/>
  <c r="CY13" i="3"/>
  <c r="CZ13" i="3"/>
  <c r="DB13" i="3" s="1"/>
  <c r="DA13" i="3"/>
  <c r="DC13" i="3"/>
  <c r="A14" i="3"/>
  <c r="Y14" i="3"/>
  <c r="CY14" i="3"/>
  <c r="CZ14" i="3"/>
  <c r="DA14" i="3"/>
  <c r="DB14" i="3"/>
  <c r="DC14" i="3"/>
  <c r="A15" i="3"/>
  <c r="Y15" i="3"/>
  <c r="CY15" i="3"/>
  <c r="CZ15" i="3"/>
  <c r="DB15" i="3" s="1"/>
  <c r="DA15" i="3"/>
  <c r="DC15" i="3"/>
  <c r="A16" i="3"/>
  <c r="Y16" i="3"/>
  <c r="CY16" i="3"/>
  <c r="CZ16" i="3"/>
  <c r="DA16" i="3"/>
  <c r="DB16" i="3"/>
  <c r="DC16" i="3"/>
  <c r="A17" i="3"/>
  <c r="Y17" i="3"/>
  <c r="CY17" i="3"/>
  <c r="CZ17" i="3"/>
  <c r="DB17" i="3" s="1"/>
  <c r="DA17" i="3"/>
  <c r="DC17" i="3"/>
  <c r="A18" i="3"/>
  <c r="Y18" i="3"/>
  <c r="CY18" i="3"/>
  <c r="CZ18" i="3"/>
  <c r="DA18" i="3"/>
  <c r="DB18" i="3"/>
  <c r="DC18" i="3"/>
  <c r="A19" i="3"/>
  <c r="Y19" i="3"/>
  <c r="CY19" i="3"/>
  <c r="CZ19" i="3"/>
  <c r="DA19" i="3"/>
  <c r="DB19" i="3"/>
  <c r="DC19" i="3"/>
  <c r="A20" i="3"/>
  <c r="Y20" i="3"/>
  <c r="CY20" i="3"/>
  <c r="CZ20" i="3"/>
  <c r="DB20" i="3" s="1"/>
  <c r="DA20" i="3"/>
  <c r="DC20" i="3"/>
  <c r="A21" i="3"/>
  <c r="Y21" i="3"/>
  <c r="CY21" i="3"/>
  <c r="CZ21" i="3"/>
  <c r="DB21" i="3" s="1"/>
  <c r="DA21" i="3"/>
  <c r="DC21" i="3"/>
  <c r="A22" i="3"/>
  <c r="Y22" i="3"/>
  <c r="CY22" i="3"/>
  <c r="CZ22" i="3"/>
  <c r="DB22" i="3" s="1"/>
  <c r="DA22" i="3"/>
  <c r="DC22" i="3"/>
  <c r="A23" i="3"/>
  <c r="Y23" i="3"/>
  <c r="CY23" i="3"/>
  <c r="CZ23" i="3"/>
  <c r="DA23" i="3"/>
  <c r="DB23" i="3"/>
  <c r="DC23" i="3"/>
  <c r="A24" i="3"/>
  <c r="Y24" i="3"/>
  <c r="CY24" i="3"/>
  <c r="CZ24" i="3"/>
  <c r="DA24" i="3"/>
  <c r="DB24" i="3"/>
  <c r="DC24" i="3"/>
  <c r="A25" i="3"/>
  <c r="Y25" i="3"/>
  <c r="CY25" i="3"/>
  <c r="CZ25" i="3"/>
  <c r="DB25" i="3" s="1"/>
  <c r="DA25" i="3"/>
  <c r="DC25" i="3"/>
  <c r="A26" i="3"/>
  <c r="Y26" i="3"/>
  <c r="CY26" i="3"/>
  <c r="CZ26" i="3"/>
  <c r="DA26" i="3"/>
  <c r="DB26" i="3"/>
  <c r="DC26" i="3"/>
  <c r="A27" i="3"/>
  <c r="Y27" i="3"/>
  <c r="CY27" i="3"/>
  <c r="CZ27" i="3"/>
  <c r="DB27" i="3" s="1"/>
  <c r="DA27" i="3"/>
  <c r="DC27" i="3"/>
  <c r="A28" i="3"/>
  <c r="Y28" i="3"/>
  <c r="CY28" i="3"/>
  <c r="CZ28" i="3"/>
  <c r="DB28" i="3" s="1"/>
  <c r="DA28" i="3"/>
  <c r="DC28" i="3"/>
  <c r="A29" i="3"/>
  <c r="Y29" i="3"/>
  <c r="CY29" i="3"/>
  <c r="CZ29" i="3"/>
  <c r="DB29" i="3" s="1"/>
  <c r="DA29" i="3"/>
  <c r="DC29" i="3"/>
  <c r="A30" i="3"/>
  <c r="Y30" i="3"/>
  <c r="CY30" i="3"/>
  <c r="CZ30" i="3"/>
  <c r="DA30" i="3"/>
  <c r="DB30" i="3"/>
  <c r="DC30" i="3"/>
  <c r="A31" i="3"/>
  <c r="Y31" i="3"/>
  <c r="CY31" i="3"/>
  <c r="CZ31" i="3"/>
  <c r="DA31" i="3"/>
  <c r="DB31" i="3"/>
  <c r="DC31" i="3"/>
  <c r="A32" i="3"/>
  <c r="Y32" i="3"/>
  <c r="CY32" i="3"/>
  <c r="CZ32" i="3"/>
  <c r="DB32" i="3" s="1"/>
  <c r="DA32" i="3"/>
  <c r="DC32" i="3"/>
  <c r="A33" i="3"/>
  <c r="Y33" i="3"/>
  <c r="CY33" i="3"/>
  <c r="CZ33" i="3"/>
  <c r="DB33" i="3" s="1"/>
  <c r="DA33" i="3"/>
  <c r="DC33" i="3"/>
  <c r="A34" i="3"/>
  <c r="Y34" i="3"/>
  <c r="CY34" i="3"/>
  <c r="CZ34" i="3"/>
  <c r="DA34" i="3"/>
  <c r="DB34" i="3"/>
  <c r="DC34" i="3"/>
  <c r="A35" i="3"/>
  <c r="Y35" i="3"/>
  <c r="CY35" i="3"/>
  <c r="CZ35" i="3"/>
  <c r="DA35" i="3"/>
  <c r="DB35" i="3"/>
  <c r="DC35" i="3"/>
  <c r="A36" i="3"/>
  <c r="Y36" i="3"/>
  <c r="CY36" i="3"/>
  <c r="CZ36" i="3"/>
  <c r="DB36" i="3" s="1"/>
  <c r="DA36" i="3"/>
  <c r="DC36" i="3"/>
  <c r="A37" i="3"/>
  <c r="Y37" i="3"/>
  <c r="CY37" i="3"/>
  <c r="CZ37" i="3"/>
  <c r="DB37" i="3" s="1"/>
  <c r="DA37" i="3"/>
  <c r="DC37" i="3"/>
  <c r="A38" i="3"/>
  <c r="Y38" i="3"/>
  <c r="CY38" i="3"/>
  <c r="CZ38" i="3"/>
  <c r="DA38" i="3"/>
  <c r="DB38" i="3"/>
  <c r="DC38" i="3"/>
  <c r="A39" i="3"/>
  <c r="Y39" i="3"/>
  <c r="CY39" i="3"/>
  <c r="CZ39" i="3"/>
  <c r="DA39" i="3"/>
  <c r="DB39" i="3"/>
  <c r="DC39" i="3"/>
  <c r="A40" i="3"/>
  <c r="Y40" i="3"/>
  <c r="CY40" i="3"/>
  <c r="CZ40" i="3"/>
  <c r="DA40" i="3"/>
  <c r="DB40" i="3"/>
  <c r="DC40" i="3"/>
  <c r="A41" i="3"/>
  <c r="Y41" i="3"/>
  <c r="CY41" i="3"/>
  <c r="CZ41" i="3"/>
  <c r="DB41" i="3" s="1"/>
  <c r="DA41" i="3"/>
  <c r="DC41" i="3"/>
  <c r="A42" i="3"/>
  <c r="Y42" i="3"/>
  <c r="CY42" i="3"/>
  <c r="CZ42" i="3"/>
  <c r="DA42" i="3"/>
  <c r="DB42" i="3"/>
  <c r="DC42" i="3"/>
  <c r="A43" i="3"/>
  <c r="Y43" i="3"/>
  <c r="CY43" i="3"/>
  <c r="CZ43" i="3"/>
  <c r="DA43" i="3"/>
  <c r="DB43" i="3"/>
  <c r="DC43" i="3"/>
  <c r="A44" i="3"/>
  <c r="Y44" i="3"/>
  <c r="CY44" i="3"/>
  <c r="CZ44" i="3"/>
  <c r="DB44" i="3" s="1"/>
  <c r="DA44" i="3"/>
  <c r="DC44" i="3"/>
  <c r="A45" i="3"/>
  <c r="Y45" i="3"/>
  <c r="CY45" i="3"/>
  <c r="CZ45" i="3"/>
  <c r="DA45" i="3"/>
  <c r="DB45" i="3"/>
  <c r="DC45" i="3"/>
  <c r="A46" i="3"/>
  <c r="Y46" i="3"/>
  <c r="CY46" i="3"/>
  <c r="CZ46" i="3"/>
  <c r="DA46" i="3"/>
  <c r="DB46" i="3"/>
  <c r="DC46" i="3"/>
  <c r="A47" i="3"/>
  <c r="Y47" i="3"/>
  <c r="CY47" i="3"/>
  <c r="CZ47" i="3"/>
  <c r="DB47" i="3" s="1"/>
  <c r="DA47" i="3"/>
  <c r="DC47" i="3"/>
  <c r="A48" i="3"/>
  <c r="Y48" i="3"/>
  <c r="CY48" i="3"/>
  <c r="CZ48" i="3"/>
  <c r="DB48" i="3" s="1"/>
  <c r="DA48" i="3"/>
  <c r="DC48" i="3"/>
  <c r="A49" i="3"/>
  <c r="Y49" i="3"/>
  <c r="CY49" i="3"/>
  <c r="CZ49" i="3"/>
  <c r="DB49" i="3" s="1"/>
  <c r="DA49" i="3"/>
  <c r="DC49" i="3"/>
  <c r="A50" i="3"/>
  <c r="Y50" i="3"/>
  <c r="CY50" i="3"/>
  <c r="CZ50" i="3"/>
  <c r="DA50" i="3"/>
  <c r="DB50" i="3"/>
  <c r="DC50" i="3"/>
  <c r="A51" i="3"/>
  <c r="Y51" i="3"/>
  <c r="CY51" i="3"/>
  <c r="CZ51" i="3"/>
  <c r="DB51" i="3" s="1"/>
  <c r="DA51" i="3"/>
  <c r="DC51" i="3"/>
  <c r="A52" i="3"/>
  <c r="Y52" i="3"/>
  <c r="CY52" i="3"/>
  <c r="CZ52" i="3"/>
  <c r="DA52" i="3"/>
  <c r="DB52" i="3"/>
  <c r="DC52" i="3"/>
  <c r="A53" i="3"/>
  <c r="Y53" i="3"/>
  <c r="CY53" i="3"/>
  <c r="CZ53" i="3"/>
  <c r="DB53" i="3" s="1"/>
  <c r="DA53" i="3"/>
  <c r="DC53" i="3"/>
  <c r="A54" i="3"/>
  <c r="Y54" i="3"/>
  <c r="CY54" i="3"/>
  <c r="CZ54" i="3"/>
  <c r="DA54" i="3"/>
  <c r="DB54" i="3"/>
  <c r="DC54" i="3"/>
  <c r="A55" i="3"/>
  <c r="Y55" i="3"/>
  <c r="CY55" i="3"/>
  <c r="CZ55" i="3"/>
  <c r="DB55" i="3" s="1"/>
  <c r="DA55" i="3"/>
  <c r="DC55" i="3"/>
  <c r="A56" i="3"/>
  <c r="Y56" i="3"/>
  <c r="CY56" i="3"/>
  <c r="CZ56" i="3"/>
  <c r="DB56" i="3" s="1"/>
  <c r="DA56" i="3"/>
  <c r="DC56" i="3"/>
  <c r="A57" i="3"/>
  <c r="Y57" i="3"/>
  <c r="CY57" i="3"/>
  <c r="CZ57" i="3"/>
  <c r="DB57" i="3" s="1"/>
  <c r="DA57" i="3"/>
  <c r="DC57" i="3"/>
  <c r="A58" i="3"/>
  <c r="Y58" i="3"/>
  <c r="CY58" i="3"/>
  <c r="CZ58" i="3"/>
  <c r="DA58" i="3"/>
  <c r="DB58" i="3"/>
  <c r="DC58" i="3"/>
  <c r="A59" i="3"/>
  <c r="Y59" i="3"/>
  <c r="CY59" i="3"/>
  <c r="CZ59" i="3"/>
  <c r="DA59" i="3"/>
  <c r="DB59" i="3"/>
  <c r="DC59" i="3"/>
  <c r="A60" i="3"/>
  <c r="Y60" i="3"/>
  <c r="CY60" i="3"/>
  <c r="CZ60" i="3"/>
  <c r="DB60" i="3" s="1"/>
  <c r="DA60" i="3"/>
  <c r="DC60" i="3"/>
  <c r="A61" i="3"/>
  <c r="Y61" i="3"/>
  <c r="CY61" i="3"/>
  <c r="CZ61" i="3"/>
  <c r="DB61" i="3" s="1"/>
  <c r="DA61" i="3"/>
  <c r="DC61" i="3"/>
  <c r="A62" i="3"/>
  <c r="Y62" i="3"/>
  <c r="CY62" i="3"/>
  <c r="CZ62" i="3"/>
  <c r="DA62" i="3"/>
  <c r="DB62" i="3"/>
  <c r="DC62" i="3"/>
  <c r="A63" i="3"/>
  <c r="Y63" i="3"/>
  <c r="CY63" i="3"/>
  <c r="CZ63" i="3"/>
  <c r="DB63" i="3" s="1"/>
  <c r="DA63" i="3"/>
  <c r="DC63" i="3"/>
  <c r="A64" i="3"/>
  <c r="Y64" i="3"/>
  <c r="CY64" i="3"/>
  <c r="CZ64" i="3"/>
  <c r="DB64" i="3" s="1"/>
  <c r="DA64" i="3"/>
  <c r="DC64" i="3"/>
  <c r="A65" i="3"/>
  <c r="Y65" i="3"/>
  <c r="CY65" i="3"/>
  <c r="CZ65" i="3"/>
  <c r="DB65" i="3" s="1"/>
  <c r="DA65" i="3"/>
  <c r="DC65" i="3"/>
  <c r="A66" i="3"/>
  <c r="Y66" i="3"/>
  <c r="CY66" i="3"/>
  <c r="CZ66" i="3"/>
  <c r="DB66" i="3" s="1"/>
  <c r="DA66" i="3"/>
  <c r="DC66" i="3"/>
  <c r="A67" i="3"/>
  <c r="Y67" i="3"/>
  <c r="CY67" i="3"/>
  <c r="CZ67" i="3"/>
  <c r="DA67" i="3"/>
  <c r="DB67" i="3"/>
  <c r="DC67" i="3"/>
  <c r="A68" i="3"/>
  <c r="Y68" i="3"/>
  <c r="CY68" i="3"/>
  <c r="CZ68" i="3"/>
  <c r="DA68" i="3"/>
  <c r="DB68" i="3"/>
  <c r="DC68" i="3"/>
  <c r="A69" i="3"/>
  <c r="Y69" i="3"/>
  <c r="CY69" i="3"/>
  <c r="CZ69" i="3"/>
  <c r="DB69" i="3" s="1"/>
  <c r="DA69" i="3"/>
  <c r="DC69" i="3"/>
  <c r="A70" i="3"/>
  <c r="Y70" i="3"/>
  <c r="CY70" i="3"/>
  <c r="CZ70" i="3"/>
  <c r="DB70" i="3" s="1"/>
  <c r="DA70" i="3"/>
  <c r="DC70" i="3"/>
  <c r="A71" i="3"/>
  <c r="Y71" i="3"/>
  <c r="CY71" i="3"/>
  <c r="CZ71" i="3"/>
  <c r="DA71" i="3"/>
  <c r="DB71" i="3"/>
  <c r="DC71" i="3"/>
  <c r="A72" i="3"/>
  <c r="Y72" i="3"/>
  <c r="CY72" i="3"/>
  <c r="CZ72" i="3"/>
  <c r="DA72" i="3"/>
  <c r="DB72" i="3"/>
  <c r="DC72" i="3"/>
  <c r="A73" i="3"/>
  <c r="Y73" i="3"/>
  <c r="CY73" i="3"/>
  <c r="CZ73" i="3"/>
  <c r="DB73" i="3" s="1"/>
  <c r="DA73" i="3"/>
  <c r="DC73" i="3"/>
  <c r="A74" i="3"/>
  <c r="Y74" i="3"/>
  <c r="CY74" i="3"/>
  <c r="CZ74" i="3"/>
  <c r="DB74" i="3" s="1"/>
  <c r="DA74" i="3"/>
  <c r="DC74" i="3"/>
  <c r="A75" i="3"/>
  <c r="Y75" i="3"/>
  <c r="CY75" i="3"/>
  <c r="CZ75" i="3"/>
  <c r="DB75" i="3" s="1"/>
  <c r="DA75" i="3"/>
  <c r="DC75" i="3"/>
  <c r="A76" i="3"/>
  <c r="Y76" i="3"/>
  <c r="CY76" i="3"/>
  <c r="CZ76" i="3"/>
  <c r="DA76" i="3"/>
  <c r="DB76" i="3"/>
  <c r="DC76" i="3"/>
  <c r="A77" i="3"/>
  <c r="Y77" i="3"/>
  <c r="CY77" i="3"/>
  <c r="CZ77" i="3"/>
  <c r="DA77" i="3"/>
  <c r="DB77" i="3"/>
  <c r="DC77" i="3"/>
  <c r="A78" i="3"/>
  <c r="Y78" i="3"/>
  <c r="CY78" i="3"/>
  <c r="CZ78" i="3"/>
  <c r="DB78" i="3" s="1"/>
  <c r="DA78" i="3"/>
  <c r="DC78" i="3"/>
  <c r="A79" i="3"/>
  <c r="Y79" i="3"/>
  <c r="CY79" i="3"/>
  <c r="CZ79" i="3"/>
  <c r="DA79" i="3"/>
  <c r="DB79" i="3"/>
  <c r="DC79" i="3"/>
  <c r="A80" i="3"/>
  <c r="Y80" i="3"/>
  <c r="CY80" i="3"/>
  <c r="CZ80" i="3"/>
  <c r="DA80" i="3"/>
  <c r="DB80" i="3"/>
  <c r="DC80" i="3"/>
  <c r="A81" i="3"/>
  <c r="Y81" i="3"/>
  <c r="CY81" i="3"/>
  <c r="CZ81" i="3"/>
  <c r="DB81" i="3" s="1"/>
  <c r="DA81" i="3"/>
  <c r="DC81" i="3"/>
  <c r="A82" i="3"/>
  <c r="Y82" i="3"/>
  <c r="CY82" i="3"/>
  <c r="CZ82" i="3"/>
  <c r="DA82" i="3"/>
  <c r="DB82" i="3"/>
  <c r="DC82" i="3"/>
  <c r="A83" i="3"/>
  <c r="Y83" i="3"/>
  <c r="CY83" i="3"/>
  <c r="CZ83" i="3"/>
  <c r="DB83" i="3" s="1"/>
  <c r="DA83" i="3"/>
  <c r="DC83" i="3"/>
  <c r="A84" i="3"/>
  <c r="Y84" i="3"/>
  <c r="CY84" i="3"/>
  <c r="CZ84" i="3"/>
  <c r="DA84" i="3"/>
  <c r="DB84" i="3"/>
  <c r="DC84" i="3"/>
  <c r="A85" i="3"/>
  <c r="Y85" i="3"/>
  <c r="CY85" i="3"/>
  <c r="CZ85" i="3"/>
  <c r="DB85" i="3" s="1"/>
  <c r="DA85" i="3"/>
  <c r="DC85" i="3"/>
  <c r="A86" i="3"/>
  <c r="Y86" i="3"/>
  <c r="CY86" i="3"/>
  <c r="CZ86" i="3"/>
  <c r="DA86" i="3"/>
  <c r="DB86" i="3"/>
  <c r="DC86" i="3"/>
  <c r="A87" i="3"/>
  <c r="Y87" i="3"/>
  <c r="CY87" i="3"/>
  <c r="CZ87" i="3"/>
  <c r="DA87" i="3"/>
  <c r="DB87" i="3"/>
  <c r="DC87" i="3"/>
  <c r="A88" i="3"/>
  <c r="Y88" i="3"/>
  <c r="CY88" i="3"/>
  <c r="CZ88" i="3"/>
  <c r="DB88" i="3" s="1"/>
  <c r="DA88" i="3"/>
  <c r="DC88" i="3"/>
  <c r="A89" i="3"/>
  <c r="Y89" i="3"/>
  <c r="CV89" i="3" s="1"/>
  <c r="CU89" i="3"/>
  <c r="CX89" i="3"/>
  <c r="DF89" i="3" s="1"/>
  <c r="CY89" i="3"/>
  <c r="CZ89" i="3"/>
  <c r="DA89" i="3"/>
  <c r="DB89" i="3"/>
  <c r="DC89" i="3"/>
  <c r="DH89" i="3"/>
  <c r="A90" i="3"/>
  <c r="Y90" i="3"/>
  <c r="CX90" i="3" s="1"/>
  <c r="CY90" i="3"/>
  <c r="CZ90" i="3"/>
  <c r="DA90" i="3"/>
  <c r="DB90" i="3"/>
  <c r="DC90" i="3"/>
  <c r="A91" i="3"/>
  <c r="Y91" i="3"/>
  <c r="CW91" i="3" s="1"/>
  <c r="CY91" i="3"/>
  <c r="CZ91" i="3"/>
  <c r="DA91" i="3"/>
  <c r="DB91" i="3"/>
  <c r="DC91" i="3"/>
  <c r="A92" i="3"/>
  <c r="Y92" i="3"/>
  <c r="CW92" i="3"/>
  <c r="CX92" i="3"/>
  <c r="DF92" i="3" s="1"/>
  <c r="CY92" i="3"/>
  <c r="CZ92" i="3"/>
  <c r="DB92" i="3" s="1"/>
  <c r="DA92" i="3"/>
  <c r="DC92" i="3"/>
  <c r="DH92" i="3"/>
  <c r="A93" i="3"/>
  <c r="Y93" i="3"/>
  <c r="CW93" i="3"/>
  <c r="CX93" i="3"/>
  <c r="DF93" i="3" s="1"/>
  <c r="CY93" i="3"/>
  <c r="CZ93" i="3"/>
  <c r="DB93" i="3" s="1"/>
  <c r="DA93" i="3"/>
  <c r="DC93" i="3"/>
  <c r="DG93" i="3"/>
  <c r="DH93" i="3"/>
  <c r="DI93" i="3"/>
  <c r="DJ93" i="3"/>
  <c r="A94" i="3"/>
  <c r="Y94" i="3"/>
  <c r="CX94" i="3" s="1"/>
  <c r="CY94" i="3"/>
  <c r="CZ94" i="3"/>
  <c r="DA94" i="3"/>
  <c r="DB94" i="3"/>
  <c r="DC94" i="3"/>
  <c r="A95" i="3"/>
  <c r="Y95" i="3"/>
  <c r="CW95" i="3" s="1"/>
  <c r="CY95" i="3"/>
  <c r="CZ95" i="3"/>
  <c r="DA95" i="3"/>
  <c r="DB95" i="3"/>
  <c r="DC95" i="3"/>
  <c r="A96" i="3"/>
  <c r="Y96" i="3"/>
  <c r="CW96" i="3" s="1"/>
  <c r="CX96" i="3"/>
  <c r="DF96" i="3" s="1"/>
  <c r="CY96" i="3"/>
  <c r="CZ96" i="3"/>
  <c r="DB96" i="3" s="1"/>
  <c r="DA96" i="3"/>
  <c r="DC96" i="3"/>
  <c r="DH96" i="3"/>
  <c r="A97" i="3"/>
  <c r="Y97" i="3"/>
  <c r="CW97" i="3"/>
  <c r="CX97" i="3"/>
  <c r="DF97" i="3" s="1"/>
  <c r="CY97" i="3"/>
  <c r="CZ97" i="3"/>
  <c r="DB97" i="3" s="1"/>
  <c r="DA97" i="3"/>
  <c r="DC97" i="3"/>
  <c r="DG97" i="3"/>
  <c r="DH97" i="3"/>
  <c r="DJ97" i="3"/>
  <c r="A98" i="3"/>
  <c r="Y98" i="3"/>
  <c r="CX98" i="3" s="1"/>
  <c r="CY98" i="3"/>
  <c r="CZ98" i="3"/>
  <c r="DA98" i="3"/>
  <c r="DB98" i="3"/>
  <c r="DC98" i="3"/>
  <c r="A99" i="3"/>
  <c r="Y99" i="3"/>
  <c r="CX99" i="3" s="1"/>
  <c r="CY99" i="3"/>
  <c r="CZ99" i="3"/>
  <c r="DA99" i="3"/>
  <c r="DB99" i="3"/>
  <c r="DC99" i="3"/>
  <c r="A100" i="3"/>
  <c r="Y100" i="3"/>
  <c r="CX100" i="3" s="1"/>
  <c r="CY100" i="3"/>
  <c r="CZ100" i="3"/>
  <c r="DB100" i="3" s="1"/>
  <c r="DA100" i="3"/>
  <c r="DC100" i="3"/>
  <c r="A101" i="3"/>
  <c r="Y101" i="3"/>
  <c r="CX101" i="3" s="1"/>
  <c r="CY101" i="3"/>
  <c r="CZ101" i="3"/>
  <c r="DB101" i="3" s="1"/>
  <c r="DA101" i="3"/>
  <c r="DC101" i="3"/>
  <c r="A102" i="3"/>
  <c r="Y102" i="3"/>
  <c r="CX102" i="3"/>
  <c r="DF102" i="3" s="1"/>
  <c r="DJ102" i="3" s="1"/>
  <c r="CY102" i="3"/>
  <c r="CZ102" i="3"/>
  <c r="DB102" i="3" s="1"/>
  <c r="DA102" i="3"/>
  <c r="DC102" i="3"/>
  <c r="DH102" i="3"/>
  <c r="A103" i="3"/>
  <c r="Y103" i="3"/>
  <c r="CX103" i="3"/>
  <c r="DG103" i="3" s="1"/>
  <c r="CY103" i="3"/>
  <c r="CZ103" i="3"/>
  <c r="DA103" i="3"/>
  <c r="DB103" i="3"/>
  <c r="DC103" i="3"/>
  <c r="DH103" i="3"/>
  <c r="A104" i="3"/>
  <c r="Y104" i="3"/>
  <c r="CX104" i="3" s="1"/>
  <c r="CU104" i="3"/>
  <c r="CY104" i="3"/>
  <c r="CZ104" i="3"/>
  <c r="DA104" i="3"/>
  <c r="DB104" i="3"/>
  <c r="DC104" i="3"/>
  <c r="A105" i="3"/>
  <c r="Y105" i="3"/>
  <c r="CX105" i="3" s="1"/>
  <c r="CY105" i="3"/>
  <c r="CZ105" i="3"/>
  <c r="DA105" i="3"/>
  <c r="DB105" i="3"/>
  <c r="DC105" i="3"/>
  <c r="A106" i="3"/>
  <c r="Y106" i="3"/>
  <c r="CW106" i="3" s="1"/>
  <c r="CY106" i="3"/>
  <c r="CZ106" i="3"/>
  <c r="DB106" i="3" s="1"/>
  <c r="DA106" i="3"/>
  <c r="DC106" i="3"/>
  <c r="A107" i="3"/>
  <c r="Y107" i="3"/>
  <c r="CW107" i="3" s="1"/>
  <c r="CX107" i="3"/>
  <c r="DG107" i="3" s="1"/>
  <c r="DJ107" i="3" s="1"/>
  <c r="CY107" i="3"/>
  <c r="CZ107" i="3"/>
  <c r="DA107" i="3"/>
  <c r="DB107" i="3"/>
  <c r="DC107" i="3"/>
  <c r="DH107" i="3"/>
  <c r="A108" i="3"/>
  <c r="Y108" i="3"/>
  <c r="CW108" i="3" s="1"/>
  <c r="CY108" i="3"/>
  <c r="CZ108" i="3"/>
  <c r="DB108" i="3" s="1"/>
  <c r="DA108" i="3"/>
  <c r="DC108" i="3"/>
  <c r="A109" i="3"/>
  <c r="Y109" i="3"/>
  <c r="CW109" i="3"/>
  <c r="CX109" i="3"/>
  <c r="DF109" i="3" s="1"/>
  <c r="CY109" i="3"/>
  <c r="CZ109" i="3"/>
  <c r="DA109" i="3"/>
  <c r="DB109" i="3"/>
  <c r="DC109" i="3"/>
  <c r="DG109" i="3"/>
  <c r="DJ109" i="3" s="1"/>
  <c r="DH109" i="3"/>
  <c r="A110" i="3"/>
  <c r="Y110" i="3"/>
  <c r="CW110" i="3" s="1"/>
  <c r="CY110" i="3"/>
  <c r="CZ110" i="3"/>
  <c r="DB110" i="3" s="1"/>
  <c r="DA110" i="3"/>
  <c r="DC110" i="3"/>
  <c r="A111" i="3"/>
  <c r="Y111" i="3"/>
  <c r="CW111" i="3" s="1"/>
  <c r="CX111" i="3"/>
  <c r="DG111" i="3" s="1"/>
  <c r="DJ111" i="3" s="1"/>
  <c r="CY111" i="3"/>
  <c r="CZ111" i="3"/>
  <c r="DA111" i="3"/>
  <c r="DB111" i="3"/>
  <c r="DC111" i="3"/>
  <c r="DH111" i="3"/>
  <c r="A112" i="3"/>
  <c r="Y112" i="3"/>
  <c r="CW112" i="3" s="1"/>
  <c r="CY112" i="3"/>
  <c r="CZ112" i="3"/>
  <c r="DB112" i="3" s="1"/>
  <c r="DA112" i="3"/>
  <c r="DC112" i="3"/>
  <c r="A113" i="3"/>
  <c r="Y113" i="3"/>
  <c r="CW113" i="3"/>
  <c r="CX113" i="3"/>
  <c r="DF113" i="3" s="1"/>
  <c r="CY113" i="3"/>
  <c r="CZ113" i="3"/>
  <c r="DA113" i="3"/>
  <c r="DB113" i="3"/>
  <c r="DC113" i="3"/>
  <c r="DG113" i="3"/>
  <c r="DJ113" i="3" s="1"/>
  <c r="DH113" i="3"/>
  <c r="A114" i="3"/>
  <c r="Y114" i="3"/>
  <c r="CW114" i="3" s="1"/>
  <c r="CY114" i="3"/>
  <c r="CZ114" i="3"/>
  <c r="DB114" i="3" s="1"/>
  <c r="DA114" i="3"/>
  <c r="DC114" i="3"/>
  <c r="A115" i="3"/>
  <c r="Y115" i="3"/>
  <c r="CW115" i="3" s="1"/>
  <c r="CX115" i="3"/>
  <c r="DG115" i="3" s="1"/>
  <c r="DJ115" i="3" s="1"/>
  <c r="CY115" i="3"/>
  <c r="CZ115" i="3"/>
  <c r="DA115" i="3"/>
  <c r="DB115" i="3"/>
  <c r="DC115" i="3"/>
  <c r="DH115" i="3"/>
  <c r="A116" i="3"/>
  <c r="Y116" i="3"/>
  <c r="CW116" i="3" s="1"/>
  <c r="CY116" i="3"/>
  <c r="CZ116" i="3"/>
  <c r="DB116" i="3" s="1"/>
  <c r="DA116" i="3"/>
  <c r="DC116" i="3"/>
  <c r="A117" i="3"/>
  <c r="Y117" i="3"/>
  <c r="CW117" i="3"/>
  <c r="CX117" i="3"/>
  <c r="DF117" i="3" s="1"/>
  <c r="CY117" i="3"/>
  <c r="CZ117" i="3"/>
  <c r="DA117" i="3"/>
  <c r="DB117" i="3"/>
  <c r="DC117" i="3"/>
  <c r="DG117" i="3"/>
  <c r="DJ117" i="3" s="1"/>
  <c r="DH117" i="3"/>
  <c r="A118" i="3"/>
  <c r="Y118" i="3"/>
  <c r="CX118" i="3" s="1"/>
  <c r="CY118" i="3"/>
  <c r="CZ118" i="3"/>
  <c r="DB118" i="3" s="1"/>
  <c r="DA118" i="3"/>
  <c r="DC118" i="3"/>
  <c r="A119" i="3"/>
  <c r="Y119" i="3"/>
  <c r="CX119" i="3" s="1"/>
  <c r="CY119" i="3"/>
  <c r="CZ119" i="3"/>
  <c r="DB119" i="3" s="1"/>
  <c r="DA119" i="3"/>
  <c r="DC119" i="3"/>
  <c r="A120" i="3"/>
  <c r="Y120" i="3"/>
  <c r="CX120" i="3"/>
  <c r="CY120" i="3"/>
  <c r="CZ120" i="3"/>
  <c r="DB120" i="3" s="1"/>
  <c r="DA120" i="3"/>
  <c r="DC120" i="3"/>
  <c r="DH120" i="3"/>
  <c r="DI120" i="3"/>
  <c r="A121" i="3"/>
  <c r="Y121" i="3"/>
  <c r="CX121" i="3"/>
  <c r="DH121" i="3" s="1"/>
  <c r="CY121" i="3"/>
  <c r="CZ121" i="3"/>
  <c r="DA121" i="3"/>
  <c r="DB121" i="3"/>
  <c r="DC121" i="3"/>
  <c r="A122" i="3"/>
  <c r="Y122" i="3"/>
  <c r="CX122" i="3" s="1"/>
  <c r="DF122" i="3" s="1"/>
  <c r="DJ122" i="3" s="1"/>
  <c r="CY122" i="3"/>
  <c r="CZ122" i="3"/>
  <c r="DA122" i="3"/>
  <c r="DB122" i="3"/>
  <c r="DC122" i="3"/>
  <c r="A123" i="3"/>
  <c r="Y123" i="3"/>
  <c r="CX123" i="3" s="1"/>
  <c r="CY123" i="3"/>
  <c r="CZ123" i="3"/>
  <c r="DB123" i="3" s="1"/>
  <c r="DA123" i="3"/>
  <c r="DC123" i="3"/>
  <c r="DF123" i="3"/>
  <c r="DI123" i="3"/>
  <c r="DJ123" i="3"/>
  <c r="A124" i="3"/>
  <c r="Y124" i="3"/>
  <c r="CX124" i="3" s="1"/>
  <c r="CY124" i="3"/>
  <c r="CZ124" i="3"/>
  <c r="DA124" i="3"/>
  <c r="DB124" i="3"/>
  <c r="DC124" i="3"/>
  <c r="DI124" i="3"/>
  <c r="A125" i="3"/>
  <c r="Y125" i="3"/>
  <c r="CX125" i="3"/>
  <c r="CY125" i="3"/>
  <c r="CZ125" i="3"/>
  <c r="DA125" i="3"/>
  <c r="DB125" i="3"/>
  <c r="DC125" i="3"/>
  <c r="A126" i="3"/>
  <c r="Y126" i="3"/>
  <c r="CX126" i="3" s="1"/>
  <c r="CY126" i="3"/>
  <c r="CZ126" i="3"/>
  <c r="DB126" i="3" s="1"/>
  <c r="DA126" i="3"/>
  <c r="DC126" i="3"/>
  <c r="A127" i="3"/>
  <c r="Y127" i="3"/>
  <c r="CX127" i="3" s="1"/>
  <c r="CY127" i="3"/>
  <c r="CZ127" i="3"/>
  <c r="DB127" i="3" s="1"/>
  <c r="DA127" i="3"/>
  <c r="DC127" i="3"/>
  <c r="A128" i="3"/>
  <c r="Y128" i="3"/>
  <c r="CX128" i="3"/>
  <c r="CY128" i="3"/>
  <c r="CZ128" i="3"/>
  <c r="DB128" i="3" s="1"/>
  <c r="DA128" i="3"/>
  <c r="DC128" i="3"/>
  <c r="A129" i="3"/>
  <c r="Y129" i="3"/>
  <c r="CX129" i="3"/>
  <c r="CY129" i="3"/>
  <c r="CZ129" i="3"/>
  <c r="DA129" i="3"/>
  <c r="DB129" i="3"/>
  <c r="DC129" i="3"/>
  <c r="A130" i="3"/>
  <c r="Y130" i="3"/>
  <c r="CX130" i="3" s="1"/>
  <c r="CY130" i="3"/>
  <c r="CZ130" i="3"/>
  <c r="DA130" i="3"/>
  <c r="DB130" i="3"/>
  <c r="DC130" i="3"/>
  <c r="A131" i="3"/>
  <c r="Y131" i="3"/>
  <c r="CX131" i="3" s="1"/>
  <c r="DF131" i="3" s="1"/>
  <c r="DJ131" i="3" s="1"/>
  <c r="CY131" i="3"/>
  <c r="CZ131" i="3"/>
  <c r="DB131" i="3" s="1"/>
  <c r="DA131" i="3"/>
  <c r="DC131" i="3"/>
  <c r="DI131" i="3"/>
  <c r="A132" i="3"/>
  <c r="Y132" i="3"/>
  <c r="CY132" i="3"/>
  <c r="CZ132" i="3"/>
  <c r="DB132" i="3" s="1"/>
  <c r="DA132" i="3"/>
  <c r="DC132" i="3"/>
  <c r="A133" i="3"/>
  <c r="Y133" i="3"/>
  <c r="CY133" i="3"/>
  <c r="CZ133" i="3"/>
  <c r="DB133" i="3" s="1"/>
  <c r="DA133" i="3"/>
  <c r="DC133" i="3"/>
  <c r="A134" i="3"/>
  <c r="Y134" i="3"/>
  <c r="CY134" i="3"/>
  <c r="CZ134" i="3"/>
  <c r="DA134" i="3"/>
  <c r="DB134" i="3"/>
  <c r="DC134" i="3"/>
  <c r="A135" i="3"/>
  <c r="Y135" i="3"/>
  <c r="CY135" i="3"/>
  <c r="CZ135" i="3"/>
  <c r="DB135" i="3" s="1"/>
  <c r="DA135" i="3"/>
  <c r="DC135" i="3"/>
  <c r="A136" i="3"/>
  <c r="Y136" i="3"/>
  <c r="CY136" i="3"/>
  <c r="CZ136" i="3"/>
  <c r="DB136" i="3" s="1"/>
  <c r="DA136" i="3"/>
  <c r="DC136" i="3"/>
  <c r="A137" i="3"/>
  <c r="Y137" i="3"/>
  <c r="CY137" i="3"/>
  <c r="CZ137" i="3"/>
  <c r="DB137" i="3" s="1"/>
  <c r="DA137" i="3"/>
  <c r="DC137" i="3"/>
  <c r="A138" i="3"/>
  <c r="Y138" i="3"/>
  <c r="CY138" i="3"/>
  <c r="CZ138" i="3"/>
  <c r="DA138" i="3"/>
  <c r="DB138" i="3"/>
  <c r="DC138" i="3"/>
  <c r="A139" i="3"/>
  <c r="Y139" i="3"/>
  <c r="CW139" i="3" s="1"/>
  <c r="CX139" i="3"/>
  <c r="DG139" i="3" s="1"/>
  <c r="CY139" i="3"/>
  <c r="CZ139" i="3"/>
  <c r="DB139" i="3" s="1"/>
  <c r="DA139" i="3"/>
  <c r="DC139" i="3"/>
  <c r="DJ139" i="3"/>
  <c r="A140" i="3"/>
  <c r="Y140" i="3"/>
  <c r="CY140" i="3"/>
  <c r="CZ140" i="3"/>
  <c r="DB140" i="3" s="1"/>
  <c r="DA140" i="3"/>
  <c r="DC140" i="3"/>
  <c r="A141" i="3"/>
  <c r="Y141" i="3"/>
  <c r="CY141" i="3"/>
  <c r="CZ141" i="3"/>
  <c r="DB141" i="3" s="1"/>
  <c r="DA141" i="3"/>
  <c r="DC141" i="3"/>
  <c r="A142" i="3"/>
  <c r="Y142" i="3"/>
  <c r="CY142" i="3"/>
  <c r="CZ142" i="3"/>
  <c r="DA142" i="3"/>
  <c r="DB142" i="3"/>
  <c r="DC142" i="3"/>
  <c r="A143" i="3"/>
  <c r="Y143" i="3"/>
  <c r="CY143" i="3"/>
  <c r="CZ143" i="3"/>
  <c r="DB143" i="3" s="1"/>
  <c r="DA143" i="3"/>
  <c r="DC143" i="3"/>
  <c r="A144" i="3"/>
  <c r="Y144" i="3"/>
  <c r="CY144" i="3"/>
  <c r="CZ144" i="3"/>
  <c r="DB144" i="3" s="1"/>
  <c r="DA144" i="3"/>
  <c r="DC144" i="3"/>
  <c r="A145" i="3"/>
  <c r="Y145" i="3"/>
  <c r="CY145" i="3"/>
  <c r="CZ145" i="3"/>
  <c r="DB145" i="3" s="1"/>
  <c r="DA145" i="3"/>
  <c r="DC145" i="3"/>
  <c r="A146" i="3"/>
  <c r="Y146" i="3"/>
  <c r="CY146" i="3"/>
  <c r="CZ146" i="3"/>
  <c r="DB146" i="3" s="1"/>
  <c r="DA146" i="3"/>
  <c r="DC146" i="3"/>
  <c r="A147" i="3"/>
  <c r="Y147" i="3"/>
  <c r="CY147" i="3"/>
  <c r="CZ147" i="3"/>
  <c r="DA147" i="3"/>
  <c r="DB147" i="3"/>
  <c r="DC147" i="3"/>
  <c r="A148" i="3"/>
  <c r="Y148" i="3"/>
  <c r="CY148" i="3"/>
  <c r="CZ148" i="3"/>
  <c r="DB148" i="3" s="1"/>
  <c r="DA148" i="3"/>
  <c r="DC148" i="3"/>
  <c r="A149" i="3"/>
  <c r="Y149" i="3"/>
  <c r="CY149" i="3"/>
  <c r="CZ149" i="3"/>
  <c r="DA149" i="3"/>
  <c r="DB149" i="3"/>
  <c r="DC149" i="3"/>
  <c r="A150" i="3"/>
  <c r="Y150" i="3"/>
  <c r="CY150" i="3"/>
  <c r="CZ150" i="3"/>
  <c r="DB150" i="3" s="1"/>
  <c r="DA150" i="3"/>
  <c r="DC150" i="3"/>
  <c r="A151" i="3"/>
  <c r="Y151" i="3"/>
  <c r="CY151" i="3"/>
  <c r="CZ151" i="3"/>
  <c r="DA151" i="3"/>
  <c r="DB151" i="3"/>
  <c r="DC151" i="3"/>
  <c r="A152" i="3"/>
  <c r="Y152" i="3"/>
  <c r="CY152" i="3"/>
  <c r="CZ152" i="3"/>
  <c r="DB152" i="3" s="1"/>
  <c r="DA152" i="3"/>
  <c r="DC152" i="3"/>
  <c r="A153" i="3"/>
  <c r="Y153" i="3"/>
  <c r="CY153" i="3"/>
  <c r="CZ153" i="3"/>
  <c r="DB153" i="3" s="1"/>
  <c r="DA153" i="3"/>
  <c r="DC153" i="3"/>
  <c r="A154" i="3"/>
  <c r="Y154" i="3"/>
  <c r="CY154" i="3"/>
  <c r="CZ154" i="3"/>
  <c r="DA154" i="3"/>
  <c r="DB154" i="3"/>
  <c r="DC154" i="3"/>
  <c r="A155" i="3"/>
  <c r="Y155" i="3"/>
  <c r="CY155" i="3"/>
  <c r="CZ155" i="3"/>
  <c r="DA155" i="3"/>
  <c r="DB155" i="3"/>
  <c r="DC155" i="3"/>
  <c r="A156" i="3"/>
  <c r="Y156" i="3"/>
  <c r="CV156" i="3" s="1"/>
  <c r="CU156" i="3"/>
  <c r="CY156" i="3"/>
  <c r="CZ156" i="3"/>
  <c r="DA156" i="3"/>
  <c r="DB156" i="3"/>
  <c r="DC156" i="3"/>
  <c r="A157" i="3"/>
  <c r="Y157" i="3"/>
  <c r="CX157" i="3"/>
  <c r="DF157" i="3" s="1"/>
  <c r="CY157" i="3"/>
  <c r="CZ157" i="3"/>
  <c r="DA157" i="3"/>
  <c r="DB157" i="3"/>
  <c r="DC157" i="3"/>
  <c r="DH157" i="3"/>
  <c r="A158" i="3"/>
  <c r="Y158" i="3"/>
  <c r="CW158" i="3" s="1"/>
  <c r="CY158" i="3"/>
  <c r="CZ158" i="3"/>
  <c r="DB158" i="3" s="1"/>
  <c r="DA158" i="3"/>
  <c r="DC158" i="3"/>
  <c r="A159" i="3"/>
  <c r="Y159" i="3"/>
  <c r="CW159" i="3"/>
  <c r="CX159" i="3"/>
  <c r="DI159" i="3" s="1"/>
  <c r="CY159" i="3"/>
  <c r="CZ159" i="3"/>
  <c r="DA159" i="3"/>
  <c r="DB159" i="3"/>
  <c r="DC159" i="3"/>
  <c r="DH159" i="3"/>
  <c r="A160" i="3"/>
  <c r="Y160" i="3"/>
  <c r="CX160" i="3" s="1"/>
  <c r="CY160" i="3"/>
  <c r="CZ160" i="3"/>
  <c r="DB160" i="3" s="1"/>
  <c r="DA160" i="3"/>
  <c r="DC160" i="3"/>
  <c r="A161" i="3"/>
  <c r="Y161" i="3"/>
  <c r="CX161" i="3"/>
  <c r="DG161" i="3" s="1"/>
  <c r="CY161" i="3"/>
  <c r="CZ161" i="3"/>
  <c r="DB161" i="3" s="1"/>
  <c r="DA161" i="3"/>
  <c r="DC161" i="3"/>
  <c r="DF161" i="3"/>
  <c r="DJ161" i="3" s="1"/>
  <c r="DH161" i="3"/>
  <c r="DI161" i="3"/>
  <c r="A162" i="3"/>
  <c r="Y162" i="3"/>
  <c r="CY162" i="3"/>
  <c r="CZ162" i="3"/>
  <c r="DB162" i="3" s="1"/>
  <c r="DA162" i="3"/>
  <c r="DC162" i="3"/>
  <c r="A163" i="3"/>
  <c r="Y163" i="3"/>
  <c r="CY163" i="3"/>
  <c r="CZ163" i="3"/>
  <c r="DB163" i="3" s="1"/>
  <c r="DA163" i="3"/>
  <c r="DC163" i="3"/>
  <c r="A164" i="3"/>
  <c r="Y164" i="3"/>
  <c r="CY164" i="3"/>
  <c r="CZ164" i="3"/>
  <c r="DA164" i="3"/>
  <c r="DB164" i="3"/>
  <c r="DC164" i="3"/>
  <c r="A165" i="3"/>
  <c r="Y165" i="3"/>
  <c r="CY165" i="3"/>
  <c r="CZ165" i="3"/>
  <c r="DB165" i="3" s="1"/>
  <c r="DA165" i="3"/>
  <c r="DC165" i="3"/>
  <c r="A166" i="3"/>
  <c r="Y166" i="3"/>
  <c r="CY166" i="3"/>
  <c r="CZ166" i="3"/>
  <c r="DA166" i="3"/>
  <c r="DB166" i="3"/>
  <c r="DC166" i="3"/>
  <c r="A167" i="3"/>
  <c r="Y167" i="3"/>
  <c r="CY167" i="3"/>
  <c r="CZ167" i="3"/>
  <c r="DB167" i="3" s="1"/>
  <c r="DA167" i="3"/>
  <c r="DC167" i="3"/>
  <c r="A168" i="3"/>
  <c r="Y168" i="3"/>
  <c r="CY168" i="3"/>
  <c r="CZ168" i="3"/>
  <c r="DA168" i="3"/>
  <c r="DB168" i="3"/>
  <c r="DC168" i="3"/>
  <c r="A169" i="3"/>
  <c r="Y169" i="3"/>
  <c r="CY169" i="3"/>
  <c r="CZ169" i="3"/>
  <c r="DA169" i="3"/>
  <c r="DB169" i="3"/>
  <c r="DC169" i="3"/>
  <c r="A170" i="3"/>
  <c r="Y170" i="3"/>
  <c r="CV170" i="3" s="1"/>
  <c r="CU170" i="3"/>
  <c r="CY170" i="3"/>
  <c r="CZ170" i="3"/>
  <c r="DA170" i="3"/>
  <c r="DB170" i="3"/>
  <c r="DC170" i="3"/>
  <c r="A171" i="3"/>
  <c r="Y171" i="3"/>
  <c r="CX171" i="3" s="1"/>
  <c r="CY171" i="3"/>
  <c r="CZ171" i="3"/>
  <c r="DA171" i="3"/>
  <c r="DB171" i="3"/>
  <c r="DC171" i="3"/>
  <c r="A172" i="3"/>
  <c r="Y172" i="3"/>
  <c r="CW172" i="3" s="1"/>
  <c r="CY172" i="3"/>
  <c r="CZ172" i="3"/>
  <c r="DB172" i="3" s="1"/>
  <c r="DA172" i="3"/>
  <c r="DC172" i="3"/>
  <c r="A173" i="3"/>
  <c r="Y173" i="3"/>
  <c r="CW173" i="3"/>
  <c r="CX173" i="3"/>
  <c r="DI173" i="3" s="1"/>
  <c r="CY173" i="3"/>
  <c r="CZ173" i="3"/>
  <c r="DA173" i="3"/>
  <c r="DB173" i="3"/>
  <c r="DC173" i="3"/>
  <c r="DG173" i="3"/>
  <c r="DJ173" i="3" s="1"/>
  <c r="DH173" i="3"/>
  <c r="A174" i="3"/>
  <c r="Y174" i="3"/>
  <c r="CX174" i="3" s="1"/>
  <c r="CW174" i="3"/>
  <c r="CY174" i="3"/>
  <c r="CZ174" i="3"/>
  <c r="DB174" i="3" s="1"/>
  <c r="DA174" i="3"/>
  <c r="DC174" i="3"/>
  <c r="A175" i="3"/>
  <c r="Y175" i="3"/>
  <c r="CW175" i="3"/>
  <c r="CX175" i="3"/>
  <c r="DF175" i="3" s="1"/>
  <c r="CY175" i="3"/>
  <c r="CZ175" i="3"/>
  <c r="DA175" i="3"/>
  <c r="DB175" i="3"/>
  <c r="DC175" i="3"/>
  <c r="DG175" i="3"/>
  <c r="DJ175" i="3" s="1"/>
  <c r="DH175" i="3"/>
  <c r="DI175" i="3"/>
  <c r="A176" i="3"/>
  <c r="Y176" i="3"/>
  <c r="CW176" i="3" s="1"/>
  <c r="CY176" i="3"/>
  <c r="CZ176" i="3"/>
  <c r="DB176" i="3" s="1"/>
  <c r="DA176" i="3"/>
  <c r="DC176" i="3"/>
  <c r="A177" i="3"/>
  <c r="Y177" i="3"/>
  <c r="CW177" i="3"/>
  <c r="CX177" i="3"/>
  <c r="DI177" i="3" s="1"/>
  <c r="CY177" i="3"/>
  <c r="CZ177" i="3"/>
  <c r="DA177" i="3"/>
  <c r="DB177" i="3"/>
  <c r="DC177" i="3"/>
  <c r="DH177" i="3"/>
  <c r="A178" i="3"/>
  <c r="Y178" i="3"/>
  <c r="CX178" i="3" s="1"/>
  <c r="CY178" i="3"/>
  <c r="CZ178" i="3"/>
  <c r="DB178" i="3" s="1"/>
  <c r="DA178" i="3"/>
  <c r="DC178" i="3"/>
  <c r="A179" i="3"/>
  <c r="Y179" i="3"/>
  <c r="CX179" i="3" s="1"/>
  <c r="CY179" i="3"/>
  <c r="CZ179" i="3"/>
  <c r="DB179" i="3" s="1"/>
  <c r="DA179" i="3"/>
  <c r="DC179" i="3"/>
  <c r="A180" i="3"/>
  <c r="Y180" i="3"/>
  <c r="CX180" i="3"/>
  <c r="DG180" i="3" s="1"/>
  <c r="CY180" i="3"/>
  <c r="CZ180" i="3"/>
  <c r="DA180" i="3"/>
  <c r="DB180" i="3"/>
  <c r="DC180" i="3"/>
  <c r="DF180" i="3"/>
  <c r="DJ180" i="3" s="1"/>
  <c r="DH180" i="3"/>
  <c r="DI180" i="3"/>
  <c r="A181" i="3"/>
  <c r="Y181" i="3"/>
  <c r="CX181" i="3"/>
  <c r="DF181" i="3" s="1"/>
  <c r="DJ181" i="3" s="1"/>
  <c r="CY181" i="3"/>
  <c r="CZ181" i="3"/>
  <c r="DA181" i="3"/>
  <c r="DB181" i="3"/>
  <c r="DC181" i="3"/>
  <c r="DH181" i="3"/>
  <c r="DI181" i="3"/>
  <c r="A182" i="3"/>
  <c r="Y182" i="3"/>
  <c r="CX182" i="3" s="1"/>
  <c r="CY182" i="3"/>
  <c r="CZ182" i="3"/>
  <c r="DA182" i="3"/>
  <c r="DB182" i="3"/>
  <c r="DC182" i="3"/>
  <c r="A183" i="3"/>
  <c r="Y183" i="3"/>
  <c r="CX183" i="3" s="1"/>
  <c r="CY183" i="3"/>
  <c r="CZ183" i="3"/>
  <c r="DB183" i="3" s="1"/>
  <c r="DA183" i="3"/>
  <c r="DC183" i="3"/>
  <c r="A184" i="3"/>
  <c r="Y184" i="3"/>
  <c r="CX184" i="3"/>
  <c r="DF184" i="3" s="1"/>
  <c r="DJ184" i="3" s="1"/>
  <c r="CY184" i="3"/>
  <c r="CZ184" i="3"/>
  <c r="DB184" i="3" s="1"/>
  <c r="DA184" i="3"/>
  <c r="DC184" i="3"/>
  <c r="DH184" i="3"/>
  <c r="DI184" i="3"/>
  <c r="A185" i="3"/>
  <c r="Y185" i="3"/>
  <c r="CX185" i="3"/>
  <c r="DI185" i="3" s="1"/>
  <c r="CY185" i="3"/>
  <c r="CZ185" i="3"/>
  <c r="DA185" i="3"/>
  <c r="DB185" i="3"/>
  <c r="DC185" i="3"/>
  <c r="DH185" i="3"/>
  <c r="A186" i="3"/>
  <c r="Y186" i="3"/>
  <c r="CX186" i="3" s="1"/>
  <c r="CY186" i="3"/>
  <c r="CZ186" i="3"/>
  <c r="DB186" i="3" s="1"/>
  <c r="DA186" i="3"/>
  <c r="DC186" i="3"/>
  <c r="A187" i="3"/>
  <c r="Y187" i="3"/>
  <c r="CX187" i="3" s="1"/>
  <c r="CY187" i="3"/>
  <c r="CZ187" i="3"/>
  <c r="DB187" i="3" s="1"/>
  <c r="DA187" i="3"/>
  <c r="DC187" i="3"/>
  <c r="A188" i="3"/>
  <c r="Y188" i="3"/>
  <c r="CX188" i="3"/>
  <c r="DG188" i="3" s="1"/>
  <c r="CY188" i="3"/>
  <c r="CZ188" i="3"/>
  <c r="DA188" i="3"/>
  <c r="DB188" i="3"/>
  <c r="DC188" i="3"/>
  <c r="DF188" i="3"/>
  <c r="DJ188" i="3" s="1"/>
  <c r="DH188" i="3"/>
  <c r="DI188" i="3"/>
  <c r="A189" i="3"/>
  <c r="Y189" i="3"/>
  <c r="CX189" i="3"/>
  <c r="DF189" i="3" s="1"/>
  <c r="DJ189" i="3" s="1"/>
  <c r="CY189" i="3"/>
  <c r="CZ189" i="3"/>
  <c r="DA189" i="3"/>
  <c r="DB189" i="3"/>
  <c r="DC189" i="3"/>
  <c r="DH189" i="3"/>
  <c r="DI189" i="3"/>
  <c r="A190" i="3"/>
  <c r="Y190" i="3"/>
  <c r="CX190" i="3" s="1"/>
  <c r="CY190" i="3"/>
  <c r="CZ190" i="3"/>
  <c r="DA190" i="3"/>
  <c r="DB190" i="3"/>
  <c r="DC190" i="3"/>
  <c r="A191" i="3"/>
  <c r="Y191" i="3"/>
  <c r="CX191" i="3" s="1"/>
  <c r="CY191" i="3"/>
  <c r="CZ191" i="3"/>
  <c r="DB191" i="3" s="1"/>
  <c r="DA191" i="3"/>
  <c r="DC191" i="3"/>
  <c r="A192" i="3"/>
  <c r="Y192" i="3"/>
  <c r="CY192" i="3"/>
  <c r="CZ192" i="3"/>
  <c r="DB192" i="3" s="1"/>
  <c r="DA192" i="3"/>
  <c r="DC192" i="3"/>
  <c r="A193" i="3"/>
  <c r="Y193" i="3"/>
  <c r="CY193" i="3"/>
  <c r="CZ193" i="3"/>
  <c r="DB193" i="3" s="1"/>
  <c r="DA193" i="3"/>
  <c r="DC193" i="3"/>
  <c r="A194" i="3"/>
  <c r="Y194" i="3"/>
  <c r="CY194" i="3"/>
  <c r="CZ194" i="3"/>
  <c r="DA194" i="3"/>
  <c r="DB194" i="3"/>
  <c r="DC194" i="3"/>
  <c r="A195" i="3"/>
  <c r="Y195" i="3"/>
  <c r="CY195" i="3"/>
  <c r="CZ195" i="3"/>
  <c r="DB195" i="3" s="1"/>
  <c r="DA195" i="3"/>
  <c r="DC195" i="3"/>
  <c r="A196" i="3"/>
  <c r="Y196" i="3"/>
  <c r="CY196" i="3"/>
  <c r="CZ196" i="3"/>
  <c r="DA196" i="3"/>
  <c r="DB196" i="3"/>
  <c r="DC196" i="3"/>
  <c r="A197" i="3"/>
  <c r="Y197" i="3"/>
  <c r="CY197" i="3"/>
  <c r="CZ197" i="3"/>
  <c r="DB197" i="3" s="1"/>
  <c r="DA197" i="3"/>
  <c r="DC197" i="3"/>
  <c r="A198" i="3"/>
  <c r="Y198" i="3"/>
  <c r="CY198" i="3"/>
  <c r="CZ198" i="3"/>
  <c r="DA198" i="3"/>
  <c r="DB198" i="3"/>
  <c r="DC198" i="3"/>
  <c r="A199" i="3"/>
  <c r="Y199" i="3"/>
  <c r="CY199" i="3"/>
  <c r="CZ199" i="3"/>
  <c r="DB199" i="3" s="1"/>
  <c r="DA199" i="3"/>
  <c r="DC199" i="3"/>
  <c r="A200" i="3"/>
  <c r="Y200" i="3"/>
  <c r="CY200" i="3"/>
  <c r="CZ200" i="3"/>
  <c r="DA200" i="3"/>
  <c r="DB200" i="3"/>
  <c r="DC200" i="3"/>
  <c r="A201" i="3"/>
  <c r="Y201" i="3"/>
  <c r="CY201" i="3"/>
  <c r="CZ201" i="3"/>
  <c r="DB201" i="3" s="1"/>
  <c r="DA201" i="3"/>
  <c r="DC201" i="3"/>
  <c r="A202" i="3"/>
  <c r="Y202" i="3"/>
  <c r="CY202" i="3"/>
  <c r="CZ202" i="3"/>
  <c r="DA202" i="3"/>
  <c r="DB202" i="3"/>
  <c r="DC202" i="3"/>
  <c r="A203" i="3"/>
  <c r="Y203" i="3"/>
  <c r="CY203" i="3"/>
  <c r="CZ203" i="3"/>
  <c r="DB203" i="3" s="1"/>
  <c r="DA203" i="3"/>
  <c r="DC203" i="3"/>
  <c r="A204" i="3"/>
  <c r="Y204" i="3"/>
  <c r="CY204" i="3"/>
  <c r="CZ204" i="3"/>
  <c r="DA204" i="3"/>
  <c r="DB204" i="3"/>
  <c r="DC204" i="3"/>
  <c r="A205" i="3"/>
  <c r="Y205" i="3"/>
  <c r="CY205" i="3"/>
  <c r="CZ205" i="3"/>
  <c r="DA205" i="3"/>
  <c r="DB205" i="3"/>
  <c r="DC205" i="3"/>
  <c r="A206" i="3"/>
  <c r="Y206" i="3"/>
  <c r="CY206" i="3"/>
  <c r="CZ206" i="3"/>
  <c r="DB206" i="3" s="1"/>
  <c r="DA206" i="3"/>
  <c r="DC206" i="3"/>
  <c r="A207" i="3"/>
  <c r="Y207" i="3"/>
  <c r="CY207" i="3"/>
  <c r="CZ207" i="3"/>
  <c r="DB207" i="3" s="1"/>
  <c r="DA207" i="3"/>
  <c r="DC207" i="3"/>
  <c r="A208" i="3"/>
  <c r="Y208" i="3"/>
  <c r="CY208" i="3"/>
  <c r="CZ208" i="3"/>
  <c r="DA208" i="3"/>
  <c r="DB208" i="3"/>
  <c r="DC208" i="3"/>
  <c r="A209" i="3"/>
  <c r="Y209" i="3"/>
  <c r="CY209" i="3"/>
  <c r="CZ209" i="3"/>
  <c r="DB209" i="3" s="1"/>
  <c r="DA209" i="3"/>
  <c r="DC209" i="3"/>
  <c r="A210" i="3"/>
  <c r="Y210" i="3"/>
  <c r="CY210" i="3"/>
  <c r="CZ210" i="3"/>
  <c r="DB210" i="3" s="1"/>
  <c r="DA210" i="3"/>
  <c r="DC210" i="3"/>
  <c r="A211" i="3"/>
  <c r="Y211" i="3"/>
  <c r="CY211" i="3"/>
  <c r="CZ211" i="3"/>
  <c r="DB211" i="3" s="1"/>
  <c r="DA211" i="3"/>
  <c r="DC211" i="3"/>
  <c r="A212" i="3"/>
  <c r="Y212" i="3"/>
  <c r="CY212" i="3"/>
  <c r="CZ212" i="3"/>
  <c r="DA212" i="3"/>
  <c r="DB212" i="3"/>
  <c r="DC212" i="3"/>
  <c r="A213" i="3"/>
  <c r="Y213" i="3"/>
  <c r="CY213" i="3"/>
  <c r="CZ213" i="3"/>
  <c r="DB213" i="3" s="1"/>
  <c r="DA213" i="3"/>
  <c r="DC213" i="3"/>
  <c r="A214" i="3"/>
  <c r="Y214" i="3"/>
  <c r="CY214" i="3"/>
  <c r="CZ214" i="3"/>
  <c r="DB214" i="3" s="1"/>
  <c r="DA214" i="3"/>
  <c r="DC214" i="3"/>
  <c r="A215" i="3"/>
  <c r="Y215" i="3"/>
  <c r="CY215" i="3"/>
  <c r="CZ215" i="3"/>
  <c r="DA215" i="3"/>
  <c r="DB215" i="3"/>
  <c r="DC215" i="3"/>
  <c r="A216" i="3"/>
  <c r="Y216" i="3"/>
  <c r="CY216" i="3"/>
  <c r="CZ216" i="3"/>
  <c r="DA216" i="3"/>
  <c r="DB216" i="3"/>
  <c r="DC216" i="3"/>
  <c r="A217" i="3"/>
  <c r="Y217" i="3"/>
  <c r="CY217" i="3"/>
  <c r="CZ217" i="3"/>
  <c r="DA217" i="3"/>
  <c r="DB217" i="3"/>
  <c r="DC217" i="3"/>
  <c r="A218" i="3"/>
  <c r="Y218" i="3"/>
  <c r="CY218" i="3"/>
  <c r="CZ218" i="3"/>
  <c r="DB218" i="3" s="1"/>
  <c r="DA218" i="3"/>
  <c r="DC218" i="3"/>
  <c r="A219" i="3"/>
  <c r="Y219" i="3"/>
  <c r="CY219" i="3"/>
  <c r="CZ219" i="3"/>
  <c r="DB219" i="3" s="1"/>
  <c r="DA219" i="3"/>
  <c r="DC219" i="3"/>
  <c r="A220" i="3"/>
  <c r="Y220" i="3"/>
  <c r="CY220" i="3"/>
  <c r="CZ220" i="3"/>
  <c r="DB220" i="3" s="1"/>
  <c r="DA220" i="3"/>
  <c r="DC220" i="3"/>
  <c r="A221" i="3"/>
  <c r="Y221" i="3"/>
  <c r="CU221" i="3"/>
  <c r="CV221" i="3"/>
  <c r="CX221" i="3"/>
  <c r="DI221" i="3" s="1"/>
  <c r="DJ221" i="3" s="1"/>
  <c r="CY221" i="3"/>
  <c r="CZ221" i="3"/>
  <c r="DA221" i="3"/>
  <c r="DB221" i="3"/>
  <c r="DC221" i="3"/>
  <c r="DF221" i="3"/>
  <c r="DG221" i="3"/>
  <c r="DH221" i="3"/>
  <c r="A222" i="3"/>
  <c r="Y222" i="3"/>
  <c r="CX222" i="3" s="1"/>
  <c r="CY222" i="3"/>
  <c r="CZ222" i="3"/>
  <c r="DB222" i="3" s="1"/>
  <c r="DA222" i="3"/>
  <c r="DC222" i="3"/>
  <c r="A223" i="3"/>
  <c r="Y223" i="3"/>
  <c r="CW223" i="3" s="1"/>
  <c r="CY223" i="3"/>
  <c r="CZ223" i="3"/>
  <c r="DA223" i="3"/>
  <c r="DB223" i="3"/>
  <c r="DC223" i="3"/>
  <c r="A224" i="3"/>
  <c r="Y224" i="3"/>
  <c r="CX224" i="3" s="1"/>
  <c r="CY224" i="3"/>
  <c r="CZ224" i="3"/>
  <c r="DB224" i="3" s="1"/>
  <c r="DA224" i="3"/>
  <c r="DC224" i="3"/>
  <c r="A225" i="3"/>
  <c r="Y225" i="3"/>
  <c r="CW225" i="3"/>
  <c r="CX225" i="3"/>
  <c r="DF225" i="3" s="1"/>
  <c r="CY225" i="3"/>
  <c r="CZ225" i="3"/>
  <c r="DB225" i="3" s="1"/>
  <c r="DA225" i="3"/>
  <c r="DC225" i="3"/>
  <c r="DG225" i="3"/>
  <c r="DJ225" i="3" s="1"/>
  <c r="DH225" i="3"/>
  <c r="A226" i="3"/>
  <c r="Y226" i="3"/>
  <c r="CX226" i="3" s="1"/>
  <c r="CW226" i="3"/>
  <c r="CY226" i="3"/>
  <c r="CZ226" i="3"/>
  <c r="DB226" i="3" s="1"/>
  <c r="DA226" i="3"/>
  <c r="DC226" i="3"/>
  <c r="A227" i="3"/>
  <c r="Y227" i="3"/>
  <c r="CX227" i="3" s="1"/>
  <c r="CY227" i="3"/>
  <c r="CZ227" i="3"/>
  <c r="DA227" i="3"/>
  <c r="DB227" i="3"/>
  <c r="DC227" i="3"/>
  <c r="A228" i="3"/>
  <c r="Y228" i="3"/>
  <c r="CX228" i="3" s="1"/>
  <c r="CY228" i="3"/>
  <c r="CZ228" i="3"/>
  <c r="DB228" i="3" s="1"/>
  <c r="DA228" i="3"/>
  <c r="DC228" i="3"/>
  <c r="A229" i="3"/>
  <c r="Y229" i="3"/>
  <c r="CY229" i="3"/>
  <c r="CZ229" i="3"/>
  <c r="DB229" i="3" s="1"/>
  <c r="DA229" i="3"/>
  <c r="DC229" i="3"/>
  <c r="A230" i="3"/>
  <c r="Y230" i="3"/>
  <c r="CY230" i="3"/>
  <c r="CZ230" i="3"/>
  <c r="DA230" i="3"/>
  <c r="DB230" i="3"/>
  <c r="DC230" i="3"/>
  <c r="A231" i="3"/>
  <c r="Y231" i="3"/>
  <c r="CY231" i="3"/>
  <c r="CZ231" i="3"/>
  <c r="DB231" i="3" s="1"/>
  <c r="DA231" i="3"/>
  <c r="DC231" i="3"/>
  <c r="A232" i="3"/>
  <c r="Y232" i="3"/>
  <c r="CY232" i="3"/>
  <c r="CZ232" i="3"/>
  <c r="DB232" i="3" s="1"/>
  <c r="DA232" i="3"/>
  <c r="DC232" i="3"/>
  <c r="A233" i="3"/>
  <c r="Y233" i="3"/>
  <c r="CY233" i="3"/>
  <c r="CZ233" i="3"/>
  <c r="DB233" i="3" s="1"/>
  <c r="DA233" i="3"/>
  <c r="DC233" i="3"/>
  <c r="A234" i="3"/>
  <c r="Y234" i="3"/>
  <c r="CY234" i="3"/>
  <c r="CZ234" i="3"/>
  <c r="DA234" i="3"/>
  <c r="DB234" i="3"/>
  <c r="DC234" i="3"/>
  <c r="A235" i="3"/>
  <c r="Y235" i="3"/>
  <c r="CY235" i="3"/>
  <c r="CZ235" i="3"/>
  <c r="DB235" i="3" s="1"/>
  <c r="DA235" i="3"/>
  <c r="DC235" i="3"/>
  <c r="A236" i="3"/>
  <c r="Y236" i="3"/>
  <c r="CY236" i="3"/>
  <c r="CZ236" i="3"/>
  <c r="DB236" i="3" s="1"/>
  <c r="DA236" i="3"/>
  <c r="DC236" i="3"/>
  <c r="A237" i="3"/>
  <c r="Y237" i="3"/>
  <c r="CY237" i="3"/>
  <c r="CZ237" i="3"/>
  <c r="DA237" i="3"/>
  <c r="DB237" i="3"/>
  <c r="DC237" i="3"/>
  <c r="A238" i="3"/>
  <c r="Y238" i="3"/>
  <c r="CY238" i="3"/>
  <c r="CZ238" i="3"/>
  <c r="DA238" i="3"/>
  <c r="DB238" i="3"/>
  <c r="DC238" i="3"/>
  <c r="A239" i="3"/>
  <c r="Y239" i="3"/>
  <c r="CY239" i="3"/>
  <c r="CZ239" i="3"/>
  <c r="DB239" i="3" s="1"/>
  <c r="DA239" i="3"/>
  <c r="DC239" i="3"/>
  <c r="A240" i="3"/>
  <c r="Y240" i="3"/>
  <c r="CY240" i="3"/>
  <c r="CZ240" i="3"/>
  <c r="DB240" i="3" s="1"/>
  <c r="DA240" i="3"/>
  <c r="DC240" i="3"/>
  <c r="A241" i="3"/>
  <c r="Y241" i="3"/>
  <c r="CY241" i="3"/>
  <c r="CZ241" i="3"/>
  <c r="DA241" i="3"/>
  <c r="DB241" i="3"/>
  <c r="DC241" i="3"/>
  <c r="A242" i="3"/>
  <c r="Y242" i="3"/>
  <c r="CY242" i="3"/>
  <c r="CZ242" i="3"/>
  <c r="DA242" i="3"/>
  <c r="DB242" i="3"/>
  <c r="DC242" i="3"/>
  <c r="A243" i="3"/>
  <c r="Y243" i="3"/>
  <c r="CY243" i="3"/>
  <c r="CZ243" i="3"/>
  <c r="DB243" i="3" s="1"/>
  <c r="DA243" i="3"/>
  <c r="DC243" i="3"/>
  <c r="A244" i="3"/>
  <c r="Y244" i="3"/>
  <c r="CY244" i="3"/>
  <c r="CZ244" i="3"/>
  <c r="DB244" i="3" s="1"/>
  <c r="DA244" i="3"/>
  <c r="DC244" i="3"/>
  <c r="A245" i="3"/>
  <c r="Y245" i="3"/>
  <c r="CY245" i="3"/>
  <c r="CZ245" i="3"/>
  <c r="DB245" i="3" s="1"/>
  <c r="DA245" i="3"/>
  <c r="DC245" i="3"/>
  <c r="A246" i="3"/>
  <c r="Y246" i="3"/>
  <c r="CY246" i="3"/>
  <c r="CZ246" i="3"/>
  <c r="DB246" i="3" s="1"/>
  <c r="DA246" i="3"/>
  <c r="DC246" i="3"/>
  <c r="A247" i="3"/>
  <c r="Y247" i="3"/>
  <c r="CY247" i="3"/>
  <c r="CZ247" i="3"/>
  <c r="DA247" i="3"/>
  <c r="DB247" i="3"/>
  <c r="DC247" i="3"/>
  <c r="A248" i="3"/>
  <c r="Y248" i="3"/>
  <c r="CY248" i="3"/>
  <c r="CZ248" i="3"/>
  <c r="DA248" i="3"/>
  <c r="DB248" i="3"/>
  <c r="DC248" i="3"/>
  <c r="A249" i="3"/>
  <c r="Y249" i="3"/>
  <c r="CY249" i="3"/>
  <c r="CZ249" i="3"/>
  <c r="DB249" i="3" s="1"/>
  <c r="DA249" i="3"/>
  <c r="DC249" i="3"/>
  <c r="A250" i="3"/>
  <c r="Y250" i="3"/>
  <c r="CY250" i="3"/>
  <c r="CZ250" i="3"/>
  <c r="DA250" i="3"/>
  <c r="DB250" i="3"/>
  <c r="DC250" i="3"/>
  <c r="A251" i="3"/>
  <c r="Y251" i="3"/>
  <c r="CY251" i="3"/>
  <c r="CZ251" i="3"/>
  <c r="DB251" i="3" s="1"/>
  <c r="DA251" i="3"/>
  <c r="DC251" i="3"/>
  <c r="A252" i="3"/>
  <c r="Y252" i="3"/>
  <c r="CY252" i="3"/>
  <c r="CZ252" i="3"/>
  <c r="DB252" i="3" s="1"/>
  <c r="DA252" i="3"/>
  <c r="DC252" i="3"/>
  <c r="A253" i="3"/>
  <c r="Y253" i="3"/>
  <c r="CY253" i="3"/>
  <c r="CZ253" i="3"/>
  <c r="DB253" i="3" s="1"/>
  <c r="DA253" i="3"/>
  <c r="DC253" i="3"/>
  <c r="A254" i="3"/>
  <c r="Y254" i="3"/>
  <c r="CY254" i="3"/>
  <c r="CZ254" i="3"/>
  <c r="DB254" i="3" s="1"/>
  <c r="DA254" i="3"/>
  <c r="DC254" i="3"/>
  <c r="A255" i="3"/>
  <c r="Y255" i="3"/>
  <c r="CU255" i="3"/>
  <c r="CV255" i="3"/>
  <c r="CX255" i="3"/>
  <c r="CY255" i="3"/>
  <c r="CZ255" i="3"/>
  <c r="DB255" i="3" s="1"/>
  <c r="DA255" i="3"/>
  <c r="DC255" i="3"/>
  <c r="DF255" i="3"/>
  <c r="DG255" i="3"/>
  <c r="DH255" i="3"/>
  <c r="DI255" i="3"/>
  <c r="DJ255" i="3" s="1"/>
  <c r="A256" i="3"/>
  <c r="Y256" i="3"/>
  <c r="CX256" i="3" s="1"/>
  <c r="CY256" i="3"/>
  <c r="CZ256" i="3"/>
  <c r="DA256" i="3"/>
  <c r="DB256" i="3"/>
  <c r="DC256" i="3"/>
  <c r="A257" i="3"/>
  <c r="Y257" i="3"/>
  <c r="CY257" i="3"/>
  <c r="CZ257" i="3"/>
  <c r="DA257" i="3"/>
  <c r="DB257" i="3"/>
  <c r="DC257" i="3"/>
  <c r="A258" i="3"/>
  <c r="Y258" i="3"/>
  <c r="CX258" i="3" s="1"/>
  <c r="CY258" i="3"/>
  <c r="CZ258" i="3"/>
  <c r="DB258" i="3" s="1"/>
  <c r="DA258" i="3"/>
  <c r="DC258" i="3"/>
  <c r="DI258" i="3"/>
  <c r="A259" i="3"/>
  <c r="Y259" i="3"/>
  <c r="CX259" i="3" s="1"/>
  <c r="CY259" i="3"/>
  <c r="CZ259" i="3"/>
  <c r="DA259" i="3"/>
  <c r="DB259" i="3"/>
  <c r="DC259" i="3"/>
  <c r="A260" i="3"/>
  <c r="Y260" i="3"/>
  <c r="CX260" i="3" s="1"/>
  <c r="CY260" i="3"/>
  <c r="CZ260" i="3"/>
  <c r="DB260" i="3" s="1"/>
  <c r="DA260" i="3"/>
  <c r="DC260" i="3"/>
  <c r="DG260" i="3"/>
  <c r="A261" i="3"/>
  <c r="Y261" i="3"/>
  <c r="CX261" i="3"/>
  <c r="DF261" i="3" s="1"/>
  <c r="DJ261" i="3" s="1"/>
  <c r="CY261" i="3"/>
  <c r="CZ261" i="3"/>
  <c r="DB261" i="3" s="1"/>
  <c r="DA261" i="3"/>
  <c r="DC261" i="3"/>
  <c r="DH261" i="3"/>
  <c r="A262" i="3"/>
  <c r="Y262" i="3"/>
  <c r="CY262" i="3"/>
  <c r="CZ262" i="3"/>
  <c r="DA262" i="3"/>
  <c r="DB262" i="3"/>
  <c r="DC262" i="3"/>
  <c r="A263" i="3"/>
  <c r="Y263" i="3"/>
  <c r="CY263" i="3"/>
  <c r="CZ263" i="3"/>
  <c r="DA263" i="3"/>
  <c r="DB263" i="3"/>
  <c r="DC263" i="3"/>
  <c r="A264" i="3"/>
  <c r="Y264" i="3"/>
  <c r="CY264" i="3"/>
  <c r="CZ264" i="3"/>
  <c r="DB264" i="3" s="1"/>
  <c r="DA264" i="3"/>
  <c r="DC264" i="3"/>
  <c r="A265" i="3"/>
  <c r="Y265" i="3"/>
  <c r="CY265" i="3"/>
  <c r="CZ265" i="3"/>
  <c r="DB265" i="3" s="1"/>
  <c r="DA265" i="3"/>
  <c r="DC265" i="3"/>
  <c r="A266" i="3"/>
  <c r="Y266" i="3"/>
  <c r="CY266" i="3"/>
  <c r="CZ266" i="3"/>
  <c r="DB266" i="3" s="1"/>
  <c r="DA266" i="3"/>
  <c r="DC266" i="3"/>
  <c r="A267" i="3"/>
  <c r="Y267" i="3"/>
  <c r="CY267" i="3"/>
  <c r="CZ267" i="3"/>
  <c r="DB267" i="3" s="1"/>
  <c r="DA267" i="3"/>
  <c r="DC267" i="3"/>
  <c r="A268" i="3"/>
  <c r="Y268" i="3"/>
  <c r="CY268" i="3"/>
  <c r="CZ268" i="3"/>
  <c r="DB268" i="3" s="1"/>
  <c r="DA268" i="3"/>
  <c r="DC268" i="3"/>
  <c r="A269" i="3"/>
  <c r="Y269" i="3"/>
  <c r="CY269" i="3"/>
  <c r="CZ269" i="3"/>
  <c r="DB269" i="3" s="1"/>
  <c r="DA269" i="3"/>
  <c r="DC269" i="3"/>
  <c r="A270" i="3"/>
  <c r="Y270" i="3"/>
  <c r="CY270" i="3"/>
  <c r="CZ270" i="3"/>
  <c r="DA270" i="3"/>
  <c r="DB270" i="3"/>
  <c r="DC270" i="3"/>
  <c r="A271" i="3"/>
  <c r="Y271" i="3"/>
  <c r="CY271" i="3"/>
  <c r="CZ271" i="3"/>
  <c r="DB271" i="3" s="1"/>
  <c r="DA271" i="3"/>
  <c r="DC271" i="3"/>
  <c r="A272" i="3"/>
  <c r="Y272" i="3"/>
  <c r="CY272" i="3"/>
  <c r="CZ272" i="3"/>
  <c r="DB272" i="3" s="1"/>
  <c r="DA272" i="3"/>
  <c r="DC272" i="3"/>
  <c r="A273" i="3"/>
  <c r="Y273" i="3"/>
  <c r="CY273" i="3"/>
  <c r="CZ273" i="3"/>
  <c r="DB273" i="3" s="1"/>
  <c r="DA273" i="3"/>
  <c r="DC273" i="3"/>
  <c r="A274" i="3"/>
  <c r="Y274" i="3"/>
  <c r="CY274" i="3"/>
  <c r="CZ274" i="3"/>
  <c r="DB274" i="3" s="1"/>
  <c r="DA274" i="3"/>
  <c r="DC274" i="3"/>
  <c r="A275" i="3"/>
  <c r="Y275" i="3"/>
  <c r="CY275" i="3"/>
  <c r="CZ275" i="3"/>
  <c r="DA275" i="3"/>
  <c r="DB275" i="3"/>
  <c r="DC275" i="3"/>
  <c r="A276" i="3"/>
  <c r="Y276" i="3"/>
  <c r="CY276" i="3"/>
  <c r="CZ276" i="3"/>
  <c r="DB276" i="3" s="1"/>
  <c r="DA276" i="3"/>
  <c r="DC276" i="3"/>
  <c r="A277" i="3"/>
  <c r="Y277" i="3"/>
  <c r="CY277" i="3"/>
  <c r="CZ277" i="3"/>
  <c r="DB277" i="3" s="1"/>
  <c r="DA277" i="3"/>
  <c r="DC277" i="3"/>
  <c r="A278" i="3"/>
  <c r="Y278" i="3"/>
  <c r="CY278" i="3"/>
  <c r="CZ278" i="3"/>
  <c r="DB278" i="3" s="1"/>
  <c r="DA278" i="3"/>
  <c r="DC278" i="3"/>
  <c r="A279" i="3"/>
  <c r="Y279" i="3"/>
  <c r="CY279" i="3"/>
  <c r="CZ279" i="3"/>
  <c r="DA279" i="3"/>
  <c r="DB279" i="3"/>
  <c r="DC279" i="3"/>
  <c r="A280" i="3"/>
  <c r="Y280" i="3"/>
  <c r="CY280" i="3"/>
  <c r="CZ280" i="3"/>
  <c r="DA280" i="3"/>
  <c r="DB280" i="3"/>
  <c r="DC280" i="3"/>
  <c r="A281" i="3"/>
  <c r="Y281" i="3"/>
  <c r="CY281" i="3"/>
  <c r="CZ281" i="3"/>
  <c r="DA281" i="3"/>
  <c r="DB281" i="3"/>
  <c r="DC281" i="3"/>
  <c r="A282" i="3"/>
  <c r="Y282" i="3"/>
  <c r="CY282" i="3"/>
  <c r="CZ282" i="3"/>
  <c r="DB282" i="3" s="1"/>
  <c r="DA282" i="3"/>
  <c r="DC282" i="3"/>
  <c r="A283" i="3"/>
  <c r="Y283" i="3"/>
  <c r="CY283" i="3"/>
  <c r="CZ283" i="3"/>
  <c r="DA283" i="3"/>
  <c r="DB283" i="3"/>
  <c r="DC283" i="3"/>
  <c r="A284" i="3"/>
  <c r="Y284" i="3"/>
  <c r="CY284" i="3"/>
  <c r="CZ284" i="3"/>
  <c r="DB284" i="3" s="1"/>
  <c r="DA284" i="3"/>
  <c r="DC284" i="3"/>
  <c r="A285" i="3"/>
  <c r="Y285" i="3"/>
  <c r="CY285" i="3"/>
  <c r="CZ285" i="3"/>
  <c r="DB285" i="3" s="1"/>
  <c r="DA285" i="3"/>
  <c r="DC285" i="3"/>
  <c r="A286" i="3"/>
  <c r="Y286" i="3"/>
  <c r="CY286" i="3"/>
  <c r="CZ286" i="3"/>
  <c r="DA286" i="3"/>
  <c r="DB286" i="3"/>
  <c r="DC286" i="3"/>
  <c r="A287" i="3"/>
  <c r="Y287" i="3"/>
  <c r="CY287" i="3"/>
  <c r="CZ287" i="3"/>
  <c r="DB287" i="3" s="1"/>
  <c r="DA287" i="3"/>
  <c r="DC287" i="3"/>
  <c r="A288" i="3"/>
  <c r="Y288" i="3"/>
  <c r="CY288" i="3"/>
  <c r="CZ288" i="3"/>
  <c r="DA288" i="3"/>
  <c r="DB288" i="3"/>
  <c r="DC288" i="3"/>
  <c r="A289" i="3"/>
  <c r="Y289" i="3"/>
  <c r="CY289" i="3"/>
  <c r="CZ289" i="3"/>
  <c r="DB289" i="3" s="1"/>
  <c r="DA289" i="3"/>
  <c r="DC289" i="3"/>
  <c r="A290" i="3"/>
  <c r="Y290" i="3"/>
  <c r="CY290" i="3"/>
  <c r="CZ290" i="3"/>
  <c r="DA290" i="3"/>
  <c r="DB290" i="3"/>
  <c r="DC290" i="3"/>
  <c r="A291" i="3"/>
  <c r="Y291" i="3"/>
  <c r="CY291" i="3"/>
  <c r="CZ291" i="3"/>
  <c r="DB291" i="3" s="1"/>
  <c r="DA291" i="3"/>
  <c r="DC291" i="3"/>
  <c r="A292" i="3"/>
  <c r="Y292" i="3"/>
  <c r="CY292" i="3"/>
  <c r="CZ292" i="3"/>
  <c r="DA292" i="3"/>
  <c r="DB292" i="3"/>
  <c r="DC292" i="3"/>
  <c r="A293" i="3"/>
  <c r="Y293" i="3"/>
  <c r="CV293" i="3" s="1"/>
  <c r="CU293" i="3"/>
  <c r="CY293" i="3"/>
  <c r="CZ293" i="3"/>
  <c r="DA293" i="3"/>
  <c r="DB293" i="3"/>
  <c r="DC293" i="3"/>
  <c r="A294" i="3"/>
  <c r="Y294" i="3"/>
  <c r="CX294" i="3" s="1"/>
  <c r="CY294" i="3"/>
  <c r="CZ294" i="3"/>
  <c r="DB294" i="3" s="1"/>
  <c r="DA294" i="3"/>
  <c r="DC294" i="3"/>
  <c r="A295" i="3"/>
  <c r="Y295" i="3"/>
  <c r="CW295" i="3" s="1"/>
  <c r="CY295" i="3"/>
  <c r="CZ295" i="3"/>
  <c r="DA295" i="3"/>
  <c r="DB295" i="3"/>
  <c r="DC295" i="3"/>
  <c r="A296" i="3"/>
  <c r="Y296" i="3"/>
  <c r="CW296" i="3" s="1"/>
  <c r="CY296" i="3"/>
  <c r="CZ296" i="3"/>
  <c r="DB296" i="3" s="1"/>
  <c r="DA296" i="3"/>
  <c r="DC296" i="3"/>
  <c r="A297" i="3"/>
  <c r="Y297" i="3"/>
  <c r="CW297" i="3"/>
  <c r="CX297" i="3"/>
  <c r="DF297" i="3" s="1"/>
  <c r="CY297" i="3"/>
  <c r="CZ297" i="3"/>
  <c r="DB297" i="3" s="1"/>
  <c r="DA297" i="3"/>
  <c r="DC297" i="3"/>
  <c r="DG297" i="3"/>
  <c r="DJ297" i="3" s="1"/>
  <c r="DH297" i="3"/>
  <c r="A298" i="3"/>
  <c r="Y298" i="3"/>
  <c r="CX298" i="3" s="1"/>
  <c r="CW298" i="3"/>
  <c r="CY298" i="3"/>
  <c r="CZ298" i="3"/>
  <c r="DB298" i="3" s="1"/>
  <c r="DA298" i="3"/>
  <c r="DC298" i="3"/>
  <c r="A299" i="3"/>
  <c r="Y299" i="3"/>
  <c r="CW299" i="3" s="1"/>
  <c r="CY299" i="3"/>
  <c r="CZ299" i="3"/>
  <c r="DA299" i="3"/>
  <c r="DB299" i="3"/>
  <c r="DC299" i="3"/>
  <c r="A300" i="3"/>
  <c r="Y300" i="3"/>
  <c r="CW300" i="3" s="1"/>
  <c r="CY300" i="3"/>
  <c r="CZ300" i="3"/>
  <c r="DB300" i="3" s="1"/>
  <c r="DA300" i="3"/>
  <c r="DC300" i="3"/>
  <c r="A301" i="3"/>
  <c r="Y301" i="3"/>
  <c r="CX301" i="3"/>
  <c r="DF301" i="3" s="1"/>
  <c r="DJ301" i="3" s="1"/>
  <c r="CY301" i="3"/>
  <c r="CZ301" i="3"/>
  <c r="DB301" i="3" s="1"/>
  <c r="DA301" i="3"/>
  <c r="DC301" i="3"/>
  <c r="DH301" i="3"/>
  <c r="A302" i="3"/>
  <c r="Y302" i="3"/>
  <c r="CX302" i="3"/>
  <c r="DG302" i="3" s="1"/>
  <c r="CY302" i="3"/>
  <c r="CZ302" i="3"/>
  <c r="DA302" i="3"/>
  <c r="DB302" i="3"/>
  <c r="DC302" i="3"/>
  <c r="DF302" i="3"/>
  <c r="DJ302" i="3" s="1"/>
  <c r="DH302" i="3"/>
  <c r="DI302" i="3"/>
  <c r="A303" i="3"/>
  <c r="Y303" i="3"/>
  <c r="CX303" i="3" s="1"/>
  <c r="CY303" i="3"/>
  <c r="CZ303" i="3"/>
  <c r="DA303" i="3"/>
  <c r="DB303" i="3"/>
  <c r="DC303" i="3"/>
  <c r="A304" i="3"/>
  <c r="Y304" i="3"/>
  <c r="CX304" i="3" s="1"/>
  <c r="CY304" i="3"/>
  <c r="CZ304" i="3"/>
  <c r="DB304" i="3" s="1"/>
  <c r="DA304" i="3"/>
  <c r="DC304" i="3"/>
  <c r="A305" i="3"/>
  <c r="Y305" i="3"/>
  <c r="CX305" i="3" s="1"/>
  <c r="CY305" i="3"/>
  <c r="CZ305" i="3"/>
  <c r="DA305" i="3"/>
  <c r="DB305" i="3"/>
  <c r="DC305" i="3"/>
  <c r="A306" i="3"/>
  <c r="Y306" i="3"/>
  <c r="CX306" i="3" s="1"/>
  <c r="CY306" i="3"/>
  <c r="CZ306" i="3"/>
  <c r="DB306" i="3" s="1"/>
  <c r="DA306" i="3"/>
  <c r="DC306" i="3"/>
  <c r="A307" i="3"/>
  <c r="Y307" i="3"/>
  <c r="CX307" i="3"/>
  <c r="DF307" i="3" s="1"/>
  <c r="DJ307" i="3" s="1"/>
  <c r="CY307" i="3"/>
  <c r="CZ307" i="3"/>
  <c r="DB307" i="3" s="1"/>
  <c r="DA307" i="3"/>
  <c r="DC307" i="3"/>
  <c r="DH307" i="3"/>
  <c r="A308" i="3"/>
  <c r="Y308" i="3"/>
  <c r="CX308" i="3"/>
  <c r="DI308" i="3" s="1"/>
  <c r="CY308" i="3"/>
  <c r="CZ308" i="3"/>
  <c r="DB308" i="3" s="1"/>
  <c r="DA308" i="3"/>
  <c r="DC308" i="3"/>
  <c r="DF308" i="3"/>
  <c r="DJ308" i="3" s="1"/>
  <c r="DH308" i="3"/>
  <c r="A309" i="3"/>
  <c r="Y309" i="3"/>
  <c r="CX309" i="3"/>
  <c r="DF309" i="3" s="1"/>
  <c r="DJ309" i="3" s="1"/>
  <c r="CY309" i="3"/>
  <c r="CZ309" i="3"/>
  <c r="DB309" i="3" s="1"/>
  <c r="DA309" i="3"/>
  <c r="DC309" i="3"/>
  <c r="DH309" i="3"/>
  <c r="A310" i="3"/>
  <c r="Y310" i="3"/>
  <c r="CX310" i="3"/>
  <c r="DG310" i="3" s="1"/>
  <c r="CY310" i="3"/>
  <c r="CZ310" i="3"/>
  <c r="DA310" i="3"/>
  <c r="DB310" i="3"/>
  <c r="DC310" i="3"/>
  <c r="DF310" i="3"/>
  <c r="DJ310" i="3" s="1"/>
  <c r="DH310" i="3"/>
  <c r="DI310" i="3"/>
  <c r="A311" i="3"/>
  <c r="Y311" i="3"/>
  <c r="CX311" i="3" s="1"/>
  <c r="CY311" i="3"/>
  <c r="CZ311" i="3"/>
  <c r="DA311" i="3"/>
  <c r="DB311" i="3"/>
  <c r="DC311" i="3"/>
  <c r="A312" i="3"/>
  <c r="Y312" i="3"/>
  <c r="CX312" i="3" s="1"/>
  <c r="CY312" i="3"/>
  <c r="CZ312" i="3"/>
  <c r="DB312" i="3" s="1"/>
  <c r="DA312" i="3"/>
  <c r="DC312" i="3"/>
  <c r="A313" i="3"/>
  <c r="Y313" i="3"/>
  <c r="CX313" i="3" s="1"/>
  <c r="CY313" i="3"/>
  <c r="CZ313" i="3"/>
  <c r="DA313" i="3"/>
  <c r="DB313" i="3"/>
  <c r="DC313" i="3"/>
  <c r="A314" i="3"/>
  <c r="Y314" i="3"/>
  <c r="CX314" i="3" s="1"/>
  <c r="CY314" i="3"/>
  <c r="CZ314" i="3"/>
  <c r="DB314" i="3" s="1"/>
  <c r="DA314" i="3"/>
  <c r="DC314" i="3"/>
  <c r="A315" i="3"/>
  <c r="Y315" i="3"/>
  <c r="CY315" i="3"/>
  <c r="CZ315" i="3"/>
  <c r="DB315" i="3" s="1"/>
  <c r="DA315" i="3"/>
  <c r="DC315" i="3"/>
  <c r="A316" i="3"/>
  <c r="Y316" i="3"/>
  <c r="CY316" i="3"/>
  <c r="CZ316" i="3"/>
  <c r="DA316" i="3"/>
  <c r="DB316" i="3"/>
  <c r="DC316" i="3"/>
  <c r="A317" i="3"/>
  <c r="Y317" i="3"/>
  <c r="CY317" i="3"/>
  <c r="CZ317" i="3"/>
  <c r="DB317" i="3" s="1"/>
  <c r="DA317" i="3"/>
  <c r="DC317" i="3"/>
  <c r="A318" i="3"/>
  <c r="Y318" i="3"/>
  <c r="CY318" i="3"/>
  <c r="CZ318" i="3"/>
  <c r="DB318" i="3" s="1"/>
  <c r="DA318" i="3"/>
  <c r="DC318" i="3"/>
  <c r="A319" i="3"/>
  <c r="Y319" i="3"/>
  <c r="CY319" i="3"/>
  <c r="CZ319" i="3"/>
  <c r="DB319" i="3" s="1"/>
  <c r="DA319" i="3"/>
  <c r="DC319" i="3"/>
  <c r="A320" i="3"/>
  <c r="Y320" i="3"/>
  <c r="CY320" i="3"/>
  <c r="CZ320" i="3"/>
  <c r="DA320" i="3"/>
  <c r="DB320" i="3"/>
  <c r="DC320" i="3"/>
  <c r="A321" i="3"/>
  <c r="Y321" i="3"/>
  <c r="CY321" i="3"/>
  <c r="CZ321" i="3"/>
  <c r="DB321" i="3" s="1"/>
  <c r="DA321" i="3"/>
  <c r="DC321" i="3"/>
  <c r="A322" i="3"/>
  <c r="Y322" i="3"/>
  <c r="CY322" i="3"/>
  <c r="CZ322" i="3"/>
  <c r="DB322" i="3" s="1"/>
  <c r="DA322" i="3"/>
  <c r="DC322" i="3"/>
  <c r="A323" i="3"/>
  <c r="Y323" i="3"/>
  <c r="CY323" i="3"/>
  <c r="CZ323" i="3"/>
  <c r="DB323" i="3" s="1"/>
  <c r="DA323" i="3"/>
  <c r="DC323" i="3"/>
  <c r="A324" i="3"/>
  <c r="Y324" i="3"/>
  <c r="CY324" i="3"/>
  <c r="CZ324" i="3"/>
  <c r="DA324" i="3"/>
  <c r="DB324" i="3"/>
  <c r="DC324" i="3"/>
  <c r="A325" i="3"/>
  <c r="Y325" i="3"/>
  <c r="CY325" i="3"/>
  <c r="CZ325" i="3"/>
  <c r="DB325" i="3" s="1"/>
  <c r="DA325" i="3"/>
  <c r="DC325" i="3"/>
  <c r="A326" i="3"/>
  <c r="Y326" i="3"/>
  <c r="CY326" i="3"/>
  <c r="CZ326" i="3"/>
  <c r="DB326" i="3" s="1"/>
  <c r="DA326" i="3"/>
  <c r="DC326" i="3"/>
  <c r="A327" i="3"/>
  <c r="Y327" i="3"/>
  <c r="CY327" i="3"/>
  <c r="CZ327" i="3"/>
  <c r="DA327" i="3"/>
  <c r="DB327" i="3"/>
  <c r="DC327" i="3"/>
  <c r="A328" i="3"/>
  <c r="Y328" i="3"/>
  <c r="CY328" i="3"/>
  <c r="CZ328" i="3"/>
  <c r="DA328" i="3"/>
  <c r="DB328" i="3"/>
  <c r="DC328" i="3"/>
  <c r="A329" i="3"/>
  <c r="Y329" i="3"/>
  <c r="CY329" i="3"/>
  <c r="CZ329" i="3"/>
  <c r="DB329" i="3" s="1"/>
  <c r="DA329" i="3"/>
  <c r="DC329" i="3"/>
  <c r="A330" i="3"/>
  <c r="Y330" i="3"/>
  <c r="CY330" i="3"/>
  <c r="CZ330" i="3"/>
  <c r="DA330" i="3"/>
  <c r="DB330" i="3"/>
  <c r="DC330" i="3"/>
  <c r="A331" i="3"/>
  <c r="Y331" i="3"/>
  <c r="CY331" i="3"/>
  <c r="CZ331" i="3"/>
  <c r="DB331" i="3" s="1"/>
  <c r="DA331" i="3"/>
  <c r="DC331" i="3"/>
  <c r="A332" i="3"/>
  <c r="Y332" i="3"/>
  <c r="CY332" i="3"/>
  <c r="CZ332" i="3"/>
  <c r="DB332" i="3" s="1"/>
  <c r="DA332" i="3"/>
  <c r="DC332" i="3"/>
  <c r="A333" i="3"/>
  <c r="Y333" i="3"/>
  <c r="CY333" i="3"/>
  <c r="CZ333" i="3"/>
  <c r="DA333" i="3"/>
  <c r="DB333" i="3"/>
  <c r="DC333" i="3"/>
  <c r="A334" i="3"/>
  <c r="Y334" i="3"/>
  <c r="CY334" i="3"/>
  <c r="CZ334" i="3"/>
  <c r="DA334" i="3"/>
  <c r="DB334" i="3"/>
  <c r="DC334" i="3"/>
  <c r="A335" i="3"/>
  <c r="Y335" i="3"/>
  <c r="CY335" i="3"/>
  <c r="CZ335" i="3"/>
  <c r="DA335" i="3"/>
  <c r="DB335" i="3"/>
  <c r="DC335" i="3"/>
  <c r="A336" i="3"/>
  <c r="Y336" i="3"/>
  <c r="CY336" i="3"/>
  <c r="CZ336" i="3"/>
  <c r="DB336" i="3" s="1"/>
  <c r="DA336" i="3"/>
  <c r="DC336" i="3"/>
  <c r="A337" i="3"/>
  <c r="Y337" i="3"/>
  <c r="CY337" i="3"/>
  <c r="CZ337" i="3"/>
  <c r="DB337" i="3" s="1"/>
  <c r="DA337" i="3"/>
  <c r="DC337" i="3"/>
  <c r="A338" i="3"/>
  <c r="Y338" i="3"/>
  <c r="CY338" i="3"/>
  <c r="CZ338" i="3"/>
  <c r="DA338" i="3"/>
  <c r="DB338" i="3"/>
  <c r="DC338" i="3"/>
  <c r="A339" i="3"/>
  <c r="Y339" i="3"/>
  <c r="CY339" i="3"/>
  <c r="CZ339" i="3"/>
  <c r="DB339" i="3" s="1"/>
  <c r="DA339" i="3"/>
  <c r="DC339" i="3"/>
  <c r="A340" i="3"/>
  <c r="Y340" i="3"/>
  <c r="CY340" i="3"/>
  <c r="CZ340" i="3"/>
  <c r="DA340" i="3"/>
  <c r="DB340" i="3"/>
  <c r="DC340" i="3"/>
  <c r="A341" i="3"/>
  <c r="Y341" i="3"/>
  <c r="CY341" i="3"/>
  <c r="CZ341" i="3"/>
  <c r="DB341" i="3" s="1"/>
  <c r="DA341" i="3"/>
  <c r="DC341" i="3"/>
  <c r="A342" i="3"/>
  <c r="Y342" i="3"/>
  <c r="CY342" i="3"/>
  <c r="CZ342" i="3"/>
  <c r="DA342" i="3"/>
  <c r="DB342" i="3"/>
  <c r="DC342" i="3"/>
  <c r="A343" i="3"/>
  <c r="Y343" i="3"/>
  <c r="CY343" i="3"/>
  <c r="CZ343" i="3"/>
  <c r="DB343" i="3" s="1"/>
  <c r="DA343" i="3"/>
  <c r="DC343" i="3"/>
  <c r="A344" i="3"/>
  <c r="Y344" i="3"/>
  <c r="CY344" i="3"/>
  <c r="CZ344" i="3"/>
  <c r="DB344" i="3" s="1"/>
  <c r="DA344" i="3"/>
  <c r="DC344" i="3"/>
  <c r="A345" i="3"/>
  <c r="Y345" i="3"/>
  <c r="CY345" i="3"/>
  <c r="CZ345" i="3"/>
  <c r="DA345" i="3"/>
  <c r="DB345" i="3"/>
  <c r="DC345" i="3"/>
  <c r="A346" i="3"/>
  <c r="Y346" i="3"/>
  <c r="CY346" i="3"/>
  <c r="CZ346" i="3"/>
  <c r="DA346" i="3"/>
  <c r="DB346" i="3"/>
  <c r="DC346" i="3"/>
  <c r="A347" i="3"/>
  <c r="Y347" i="3"/>
  <c r="CY347" i="3"/>
  <c r="CZ347" i="3"/>
  <c r="DA347" i="3"/>
  <c r="DB347" i="3"/>
  <c r="DC347" i="3"/>
  <c r="A348" i="3"/>
  <c r="Y348" i="3"/>
  <c r="CY348" i="3"/>
  <c r="CZ348" i="3"/>
  <c r="DB348" i="3" s="1"/>
  <c r="DA348" i="3"/>
  <c r="DC348" i="3"/>
  <c r="A349" i="3"/>
  <c r="Y349" i="3"/>
  <c r="CY349" i="3"/>
  <c r="CZ349" i="3"/>
  <c r="DA349" i="3"/>
  <c r="DB349" i="3"/>
  <c r="DC349" i="3"/>
  <c r="A350" i="3"/>
  <c r="Y350" i="3"/>
  <c r="CY350" i="3"/>
  <c r="CZ350" i="3"/>
  <c r="DB350" i="3" s="1"/>
  <c r="DA350" i="3"/>
  <c r="DC350" i="3"/>
  <c r="A351" i="3"/>
  <c r="Y351" i="3"/>
  <c r="CY351" i="3"/>
  <c r="CZ351" i="3"/>
  <c r="DA351" i="3"/>
  <c r="DB351" i="3"/>
  <c r="DC351" i="3"/>
  <c r="A352" i="3"/>
  <c r="Y352" i="3"/>
  <c r="CY352" i="3"/>
  <c r="CZ352" i="3"/>
  <c r="DB352" i="3" s="1"/>
  <c r="DA352" i="3"/>
  <c r="DC352" i="3"/>
  <c r="A353" i="3"/>
  <c r="Y353" i="3"/>
  <c r="CY353" i="3"/>
  <c r="CZ353" i="3"/>
  <c r="DA353" i="3"/>
  <c r="DB353" i="3"/>
  <c r="DC353" i="3"/>
  <c r="A354" i="3"/>
  <c r="Y354" i="3"/>
  <c r="CY354" i="3"/>
  <c r="CZ354" i="3"/>
  <c r="DB354" i="3" s="1"/>
  <c r="DA354" i="3"/>
  <c r="DC354" i="3"/>
  <c r="A355" i="3"/>
  <c r="Y355" i="3"/>
  <c r="CY355" i="3"/>
  <c r="CZ355" i="3"/>
  <c r="DB355" i="3" s="1"/>
  <c r="DA355" i="3"/>
  <c r="DC355" i="3"/>
  <c r="A356" i="3"/>
  <c r="Y356" i="3"/>
  <c r="CY356" i="3"/>
  <c r="CZ356" i="3"/>
  <c r="DA356" i="3"/>
  <c r="DB356" i="3"/>
  <c r="DC356" i="3"/>
  <c r="A357" i="3"/>
  <c r="Y357" i="3"/>
  <c r="CY357" i="3"/>
  <c r="CZ357" i="3"/>
  <c r="DB357" i="3" s="1"/>
  <c r="DA357" i="3"/>
  <c r="DC357" i="3"/>
  <c r="A358" i="3"/>
  <c r="Y358" i="3"/>
  <c r="CY358" i="3"/>
  <c r="CZ358" i="3"/>
  <c r="DA358" i="3"/>
  <c r="DB358" i="3"/>
  <c r="DC358" i="3"/>
  <c r="A359" i="3"/>
  <c r="Y359" i="3"/>
  <c r="CY359" i="3"/>
  <c r="CZ359" i="3"/>
  <c r="DB359" i="3" s="1"/>
  <c r="DA359" i="3"/>
  <c r="DC359" i="3"/>
  <c r="A360" i="3"/>
  <c r="Y360" i="3"/>
  <c r="CY360" i="3"/>
  <c r="CZ360" i="3"/>
  <c r="DA360" i="3"/>
  <c r="DB360" i="3"/>
  <c r="DC360" i="3"/>
  <c r="A361" i="3"/>
  <c r="Y361" i="3"/>
  <c r="CY361" i="3"/>
  <c r="CZ361" i="3"/>
  <c r="DB361" i="3" s="1"/>
  <c r="DA361" i="3"/>
  <c r="DC361" i="3"/>
  <c r="A362" i="3"/>
  <c r="Y362" i="3"/>
  <c r="CY362" i="3"/>
  <c r="CZ362" i="3"/>
  <c r="DA362" i="3"/>
  <c r="DB362" i="3"/>
  <c r="DC362" i="3"/>
  <c r="A363" i="3"/>
  <c r="Y363" i="3"/>
  <c r="CY363" i="3"/>
  <c r="CZ363" i="3"/>
  <c r="DB363" i="3" s="1"/>
  <c r="DA363" i="3"/>
  <c r="DC363" i="3"/>
  <c r="A364" i="3"/>
  <c r="Y364" i="3"/>
  <c r="CY364" i="3"/>
  <c r="CZ364" i="3"/>
  <c r="DA364" i="3"/>
  <c r="DB364" i="3"/>
  <c r="DC364" i="3"/>
  <c r="A365" i="3"/>
  <c r="Y365" i="3"/>
  <c r="CY365" i="3"/>
  <c r="CZ365" i="3"/>
  <c r="DB365" i="3" s="1"/>
  <c r="DA365" i="3"/>
  <c r="DC365" i="3"/>
  <c r="A366" i="3"/>
  <c r="Y366" i="3"/>
  <c r="CY366" i="3"/>
  <c r="CZ366" i="3"/>
  <c r="DB366" i="3" s="1"/>
  <c r="DA366" i="3"/>
  <c r="DC366" i="3"/>
  <c r="A367" i="3"/>
  <c r="Y367" i="3"/>
  <c r="CY367" i="3"/>
  <c r="CZ367" i="3"/>
  <c r="DA367" i="3"/>
  <c r="DB367" i="3"/>
  <c r="DC367" i="3"/>
  <c r="A368" i="3"/>
  <c r="Y368" i="3"/>
  <c r="CX368" i="3"/>
  <c r="DF368" i="3" s="1"/>
  <c r="CY368" i="3"/>
  <c r="CZ368" i="3"/>
  <c r="DB368" i="3" s="1"/>
  <c r="DA368" i="3"/>
  <c r="DC368" i="3"/>
  <c r="DH368" i="3"/>
  <c r="A369" i="3"/>
  <c r="Y369" i="3"/>
  <c r="CW369" i="3" s="1"/>
  <c r="CY369" i="3"/>
  <c r="CZ369" i="3"/>
  <c r="DB369" i="3" s="1"/>
  <c r="DA369" i="3"/>
  <c r="DC369" i="3"/>
  <c r="A370" i="3"/>
  <c r="Y370" i="3"/>
  <c r="CX370" i="3" s="1"/>
  <c r="CY370" i="3"/>
  <c r="CZ370" i="3"/>
  <c r="DA370" i="3"/>
  <c r="DB370" i="3"/>
  <c r="DC370" i="3"/>
  <c r="A371" i="3"/>
  <c r="Y371" i="3"/>
  <c r="CY371" i="3"/>
  <c r="CZ371" i="3"/>
  <c r="DB371" i="3" s="1"/>
  <c r="DA371" i="3"/>
  <c r="DC371" i="3"/>
  <c r="A372" i="3"/>
  <c r="Y372" i="3"/>
  <c r="CY372" i="3"/>
  <c r="CZ372" i="3"/>
  <c r="DA372" i="3"/>
  <c r="DB372" i="3"/>
  <c r="DC372" i="3"/>
  <c r="A373" i="3"/>
  <c r="Y373" i="3"/>
  <c r="CY373" i="3"/>
  <c r="CZ373" i="3"/>
  <c r="DB373" i="3" s="1"/>
  <c r="DA373" i="3"/>
  <c r="DC373" i="3"/>
  <c r="A374" i="3"/>
  <c r="Y374" i="3"/>
  <c r="CY374" i="3"/>
  <c r="CZ374" i="3"/>
  <c r="DA374" i="3"/>
  <c r="DB374" i="3"/>
  <c r="DC374" i="3"/>
  <c r="A375" i="3"/>
  <c r="Y375" i="3"/>
  <c r="CY375" i="3"/>
  <c r="CZ375" i="3"/>
  <c r="DB375" i="3" s="1"/>
  <c r="DA375" i="3"/>
  <c r="DC375" i="3"/>
  <c r="A376" i="3"/>
  <c r="Y376" i="3"/>
  <c r="CY376" i="3"/>
  <c r="CZ376" i="3"/>
  <c r="DA376" i="3"/>
  <c r="DB376" i="3"/>
  <c r="DC376" i="3"/>
  <c r="A377" i="3"/>
  <c r="Y377" i="3"/>
  <c r="CY377" i="3"/>
  <c r="CZ377" i="3"/>
  <c r="DB377" i="3" s="1"/>
  <c r="DA377" i="3"/>
  <c r="DC377" i="3"/>
  <c r="A378" i="3"/>
  <c r="Y378" i="3"/>
  <c r="CY378" i="3"/>
  <c r="CZ378" i="3"/>
  <c r="DA378" i="3"/>
  <c r="DB378" i="3"/>
  <c r="DC378" i="3"/>
  <c r="A379" i="3"/>
  <c r="Y379" i="3"/>
  <c r="CY379" i="3"/>
  <c r="CZ379" i="3"/>
  <c r="DB379" i="3" s="1"/>
  <c r="DA379" i="3"/>
  <c r="DC379" i="3"/>
  <c r="A380" i="3"/>
  <c r="Y380" i="3"/>
  <c r="CY380" i="3"/>
  <c r="CZ380" i="3"/>
  <c r="DA380" i="3"/>
  <c r="DB380" i="3"/>
  <c r="DC380" i="3"/>
  <c r="A381" i="3"/>
  <c r="Y381" i="3"/>
  <c r="CY381" i="3"/>
  <c r="CZ381" i="3"/>
  <c r="DB381" i="3" s="1"/>
  <c r="DA381" i="3"/>
  <c r="DC381" i="3"/>
  <c r="A382" i="3"/>
  <c r="Y382" i="3"/>
  <c r="CY382" i="3"/>
  <c r="CZ382" i="3"/>
  <c r="DA382" i="3"/>
  <c r="DB382" i="3"/>
  <c r="DC382" i="3"/>
  <c r="A383" i="3"/>
  <c r="Y383" i="3"/>
  <c r="CY383" i="3"/>
  <c r="CZ383" i="3"/>
  <c r="DB383" i="3" s="1"/>
  <c r="DA383" i="3"/>
  <c r="DC383" i="3"/>
  <c r="A384" i="3"/>
  <c r="Y384" i="3"/>
  <c r="CY384" i="3"/>
  <c r="CZ384" i="3"/>
  <c r="DA384" i="3"/>
  <c r="DB384" i="3"/>
  <c r="DC384" i="3"/>
  <c r="A385" i="3"/>
  <c r="Y385" i="3"/>
  <c r="CY385" i="3"/>
  <c r="CZ385" i="3"/>
  <c r="DB385" i="3" s="1"/>
  <c r="DA385" i="3"/>
  <c r="DC385" i="3"/>
  <c r="A386" i="3"/>
  <c r="Y386" i="3"/>
  <c r="CY386" i="3"/>
  <c r="CZ386" i="3"/>
  <c r="DA386" i="3"/>
  <c r="DB386" i="3"/>
  <c r="DC386" i="3"/>
  <c r="A387" i="3"/>
  <c r="Y387" i="3"/>
  <c r="CY387" i="3"/>
  <c r="CZ387" i="3"/>
  <c r="DB387" i="3" s="1"/>
  <c r="DA387" i="3"/>
  <c r="DC387" i="3"/>
  <c r="A388" i="3"/>
  <c r="Y388" i="3"/>
  <c r="CY388" i="3"/>
  <c r="CZ388" i="3"/>
  <c r="DA388" i="3"/>
  <c r="DB388" i="3"/>
  <c r="DC388" i="3"/>
  <c r="A389" i="3"/>
  <c r="Y389" i="3"/>
  <c r="CY389" i="3"/>
  <c r="CZ389" i="3"/>
  <c r="DA389" i="3"/>
  <c r="DB389" i="3"/>
  <c r="DC389" i="3"/>
  <c r="A390" i="3"/>
  <c r="Y390" i="3"/>
  <c r="CY390" i="3"/>
  <c r="CZ390" i="3"/>
  <c r="DB390" i="3" s="1"/>
  <c r="DA390" i="3"/>
  <c r="DC390" i="3"/>
  <c r="A391" i="3"/>
  <c r="Y391" i="3"/>
  <c r="CY391" i="3"/>
  <c r="CZ391" i="3"/>
  <c r="DB391" i="3" s="1"/>
  <c r="DA391" i="3"/>
  <c r="DC391" i="3"/>
  <c r="A392" i="3"/>
  <c r="Y392" i="3"/>
  <c r="CY392" i="3"/>
  <c r="CZ392" i="3"/>
  <c r="DA392" i="3"/>
  <c r="DB392" i="3"/>
  <c r="DC392" i="3"/>
  <c r="A393" i="3"/>
  <c r="Y393" i="3"/>
  <c r="CY393" i="3"/>
  <c r="CZ393" i="3"/>
  <c r="DA393" i="3"/>
  <c r="DB393" i="3"/>
  <c r="DC393" i="3"/>
  <c r="A394" i="3"/>
  <c r="Y394" i="3"/>
  <c r="CY394" i="3"/>
  <c r="CZ394" i="3"/>
  <c r="DB394" i="3" s="1"/>
  <c r="DA394" i="3"/>
  <c r="DC394" i="3"/>
  <c r="A395" i="3"/>
  <c r="Y395" i="3"/>
  <c r="CY395" i="3"/>
  <c r="CZ395" i="3"/>
  <c r="DB395" i="3" s="1"/>
  <c r="DA395" i="3"/>
  <c r="DC395" i="3"/>
  <c r="A396" i="3"/>
  <c r="Y396" i="3"/>
  <c r="CY396" i="3"/>
  <c r="CZ396" i="3"/>
  <c r="DA396" i="3"/>
  <c r="DB396" i="3"/>
  <c r="DC396" i="3"/>
  <c r="A397" i="3"/>
  <c r="Y397" i="3"/>
  <c r="CV397" i="3" s="1"/>
  <c r="CU397" i="3"/>
  <c r="CY397" i="3"/>
  <c r="CZ397" i="3"/>
  <c r="DB397" i="3" s="1"/>
  <c r="DA397" i="3"/>
  <c r="DC397" i="3"/>
  <c r="A398" i="3"/>
  <c r="Y398" i="3"/>
  <c r="CX398" i="3"/>
  <c r="DG398" i="3" s="1"/>
  <c r="CY398" i="3"/>
  <c r="CZ398" i="3"/>
  <c r="DA398" i="3"/>
  <c r="DB398" i="3"/>
  <c r="DC398" i="3"/>
  <c r="DH398" i="3"/>
  <c r="A399" i="3"/>
  <c r="Y399" i="3"/>
  <c r="CX399" i="3" s="1"/>
  <c r="CW399" i="3"/>
  <c r="CY399" i="3"/>
  <c r="CZ399" i="3"/>
  <c r="DB399" i="3" s="1"/>
  <c r="DA399" i="3"/>
  <c r="DC399" i="3"/>
  <c r="A400" i="3"/>
  <c r="Y400" i="3"/>
  <c r="CW400" i="3"/>
  <c r="CX400" i="3"/>
  <c r="DF400" i="3" s="1"/>
  <c r="CY400" i="3"/>
  <c r="CZ400" i="3"/>
  <c r="DA400" i="3"/>
  <c r="DB400" i="3"/>
  <c r="DC400" i="3"/>
  <c r="DH400" i="3"/>
  <c r="DI400" i="3"/>
  <c r="A401" i="3"/>
  <c r="Y401" i="3"/>
  <c r="CW401" i="3" s="1"/>
  <c r="CY401" i="3"/>
  <c r="CZ401" i="3"/>
  <c r="DB401" i="3" s="1"/>
  <c r="DA401" i="3"/>
  <c r="DC401" i="3"/>
  <c r="A402" i="3"/>
  <c r="Y402" i="3"/>
  <c r="CW402" i="3"/>
  <c r="CX402" i="3"/>
  <c r="DG402" i="3" s="1"/>
  <c r="DJ402" i="3" s="1"/>
  <c r="CY402" i="3"/>
  <c r="CZ402" i="3"/>
  <c r="DA402" i="3"/>
  <c r="DB402" i="3"/>
  <c r="DC402" i="3"/>
  <c r="DH402" i="3"/>
  <c r="A403" i="3"/>
  <c r="Y403" i="3"/>
  <c r="CW403" i="3" s="1"/>
  <c r="CY403" i="3"/>
  <c r="CZ403" i="3"/>
  <c r="DB403" i="3" s="1"/>
  <c r="DA403" i="3"/>
  <c r="DC403" i="3"/>
  <c r="A404" i="3"/>
  <c r="Y404" i="3"/>
  <c r="CW404" i="3"/>
  <c r="CX404" i="3"/>
  <c r="DF404" i="3" s="1"/>
  <c r="CY404" i="3"/>
  <c r="CZ404" i="3"/>
  <c r="DA404" i="3"/>
  <c r="DB404" i="3"/>
  <c r="DC404" i="3"/>
  <c r="DH404" i="3"/>
  <c r="A405" i="3"/>
  <c r="Y405" i="3"/>
  <c r="CY405" i="3"/>
  <c r="CZ405" i="3"/>
  <c r="DB405" i="3" s="1"/>
  <c r="DA405" i="3"/>
  <c r="DC405" i="3"/>
  <c r="A406" i="3"/>
  <c r="Y406" i="3"/>
  <c r="CW406" i="3"/>
  <c r="CX406" i="3"/>
  <c r="CY406" i="3"/>
  <c r="CZ406" i="3"/>
  <c r="DA406" i="3"/>
  <c r="DB406" i="3"/>
  <c r="DC406" i="3"/>
  <c r="A407" i="3"/>
  <c r="Y407" i="3"/>
  <c r="CX407" i="3" s="1"/>
  <c r="CY407" i="3"/>
  <c r="CZ407" i="3"/>
  <c r="DB407" i="3" s="1"/>
  <c r="DA407" i="3"/>
  <c r="DC407" i="3"/>
  <c r="DF407" i="3"/>
  <c r="DG407" i="3"/>
  <c r="DJ407" i="3" s="1"/>
  <c r="A408" i="3"/>
  <c r="Y408" i="3"/>
  <c r="CY408" i="3"/>
  <c r="CZ408" i="3"/>
  <c r="DA408" i="3"/>
  <c r="DB408" i="3"/>
  <c r="DC408" i="3"/>
  <c r="A409" i="3"/>
  <c r="Y409" i="3"/>
  <c r="CY409" i="3"/>
  <c r="CZ409" i="3"/>
  <c r="DB409" i="3" s="1"/>
  <c r="DA409" i="3"/>
  <c r="DC409" i="3"/>
  <c r="A410" i="3"/>
  <c r="Y410" i="3"/>
  <c r="CY410" i="3"/>
  <c r="CZ410" i="3"/>
  <c r="DA410" i="3"/>
  <c r="DB410" i="3"/>
  <c r="DC410" i="3"/>
  <c r="A411" i="3"/>
  <c r="Y411" i="3"/>
  <c r="CY411" i="3"/>
  <c r="CZ411" i="3"/>
  <c r="DB411" i="3" s="1"/>
  <c r="DA411" i="3"/>
  <c r="DC411" i="3"/>
  <c r="A412" i="3"/>
  <c r="Y412" i="3"/>
  <c r="CY412" i="3"/>
  <c r="CZ412" i="3"/>
  <c r="DA412" i="3"/>
  <c r="DB412" i="3"/>
  <c r="DC412" i="3"/>
  <c r="A413" i="3"/>
  <c r="Y413" i="3"/>
  <c r="CY413" i="3"/>
  <c r="CZ413" i="3"/>
  <c r="DB413" i="3" s="1"/>
  <c r="DA413" i="3"/>
  <c r="DC413" i="3"/>
  <c r="A414" i="3"/>
  <c r="Y414" i="3"/>
  <c r="CY414" i="3"/>
  <c r="CZ414" i="3"/>
  <c r="DA414" i="3"/>
  <c r="DB414" i="3"/>
  <c r="DC414" i="3"/>
  <c r="A415" i="3"/>
  <c r="Y415" i="3"/>
  <c r="CY415" i="3"/>
  <c r="CZ415" i="3"/>
  <c r="DB415" i="3" s="1"/>
  <c r="DA415" i="3"/>
  <c r="DC415" i="3"/>
  <c r="A416" i="3"/>
  <c r="Y416" i="3"/>
  <c r="CY416" i="3"/>
  <c r="CZ416" i="3"/>
  <c r="DA416" i="3"/>
  <c r="DB416" i="3"/>
  <c r="DC416" i="3"/>
  <c r="A417" i="3"/>
  <c r="Y417" i="3"/>
  <c r="CY417" i="3"/>
  <c r="CZ417" i="3"/>
  <c r="DB417" i="3" s="1"/>
  <c r="DA417" i="3"/>
  <c r="DC417" i="3"/>
  <c r="A418" i="3"/>
  <c r="Y418" i="3"/>
  <c r="CY418" i="3"/>
  <c r="CZ418" i="3"/>
  <c r="DA418" i="3"/>
  <c r="DB418" i="3"/>
  <c r="DC418" i="3"/>
  <c r="A419" i="3"/>
  <c r="Y419" i="3"/>
  <c r="CY419" i="3"/>
  <c r="CZ419" i="3"/>
  <c r="DB419" i="3" s="1"/>
  <c r="DA419" i="3"/>
  <c r="DC419" i="3"/>
  <c r="A420" i="3"/>
  <c r="Y420" i="3"/>
  <c r="CY420" i="3"/>
  <c r="CZ420" i="3"/>
  <c r="DA420" i="3"/>
  <c r="DB420" i="3"/>
  <c r="DC420" i="3"/>
  <c r="A421" i="3"/>
  <c r="Y421" i="3"/>
  <c r="CY421" i="3"/>
  <c r="CZ421" i="3"/>
  <c r="DB421" i="3" s="1"/>
  <c r="DA421" i="3"/>
  <c r="DC421" i="3"/>
  <c r="A422" i="3"/>
  <c r="Y422" i="3"/>
  <c r="CY422" i="3"/>
  <c r="CZ422" i="3"/>
  <c r="DA422" i="3"/>
  <c r="DB422" i="3"/>
  <c r="DC422" i="3"/>
  <c r="A423" i="3"/>
  <c r="Y423" i="3"/>
  <c r="CY423" i="3"/>
  <c r="CZ423" i="3"/>
  <c r="DB423" i="3" s="1"/>
  <c r="DA423" i="3"/>
  <c r="DC423" i="3"/>
  <c r="A424" i="3"/>
  <c r="Y424" i="3"/>
  <c r="CY424" i="3"/>
  <c r="CZ424" i="3"/>
  <c r="DA424" i="3"/>
  <c r="DB424" i="3"/>
  <c r="DC424" i="3"/>
  <c r="A425" i="3"/>
  <c r="Y425" i="3"/>
  <c r="CY425" i="3"/>
  <c r="CZ425" i="3"/>
  <c r="DA425" i="3"/>
  <c r="DB425" i="3"/>
  <c r="DC425" i="3"/>
  <c r="A426" i="3"/>
  <c r="Y426" i="3"/>
  <c r="CY426" i="3"/>
  <c r="CZ426" i="3"/>
  <c r="DB426" i="3" s="1"/>
  <c r="DA426" i="3"/>
  <c r="DC426" i="3"/>
  <c r="A427" i="3"/>
  <c r="Y427" i="3"/>
  <c r="CY427" i="3"/>
  <c r="CZ427" i="3"/>
  <c r="DB427" i="3" s="1"/>
  <c r="DA427" i="3"/>
  <c r="DC427" i="3"/>
  <c r="A428" i="3"/>
  <c r="Y428" i="3"/>
  <c r="CY428" i="3"/>
  <c r="CZ428" i="3"/>
  <c r="DB428" i="3" s="1"/>
  <c r="DA428" i="3"/>
  <c r="DC428" i="3"/>
  <c r="A429" i="3"/>
  <c r="Y429" i="3"/>
  <c r="CY429" i="3"/>
  <c r="CZ429" i="3"/>
  <c r="DA429" i="3"/>
  <c r="DB429" i="3"/>
  <c r="DC429" i="3"/>
  <c r="A430" i="3"/>
  <c r="Y430" i="3"/>
  <c r="CY430" i="3"/>
  <c r="CZ430" i="3"/>
  <c r="DB430" i="3" s="1"/>
  <c r="DA430" i="3"/>
  <c r="DC430" i="3"/>
  <c r="A431" i="3"/>
  <c r="Y431" i="3"/>
  <c r="CY431" i="3"/>
  <c r="CZ431" i="3"/>
  <c r="DA431" i="3"/>
  <c r="DB431" i="3"/>
  <c r="DC431" i="3"/>
  <c r="A432" i="3"/>
  <c r="Y432" i="3"/>
  <c r="CY432" i="3"/>
  <c r="CZ432" i="3"/>
  <c r="DA432" i="3"/>
  <c r="DB432" i="3"/>
  <c r="DC432" i="3"/>
  <c r="A433" i="3"/>
  <c r="Y433" i="3"/>
  <c r="CY433" i="3"/>
  <c r="CZ433" i="3"/>
  <c r="DB433" i="3" s="1"/>
  <c r="DA433" i="3"/>
  <c r="DC433" i="3"/>
  <c r="A434" i="3"/>
  <c r="Y434" i="3"/>
  <c r="CY434" i="3"/>
  <c r="CZ434" i="3"/>
  <c r="DA434" i="3"/>
  <c r="DB434" i="3"/>
  <c r="DC434" i="3"/>
  <c r="A435" i="3"/>
  <c r="Y435" i="3"/>
  <c r="CY435" i="3"/>
  <c r="CZ435" i="3"/>
  <c r="DA435" i="3"/>
  <c r="DB435" i="3"/>
  <c r="DC435" i="3"/>
  <c r="A436" i="3"/>
  <c r="Y436" i="3"/>
  <c r="CY436" i="3"/>
  <c r="CZ436" i="3"/>
  <c r="DB436" i="3" s="1"/>
  <c r="DA436" i="3"/>
  <c r="DC436" i="3"/>
  <c r="A437" i="3"/>
  <c r="Y437" i="3"/>
  <c r="CY437" i="3"/>
  <c r="CZ437" i="3"/>
  <c r="DB437" i="3" s="1"/>
  <c r="DA437" i="3"/>
  <c r="DC437" i="3"/>
  <c r="A438" i="3"/>
  <c r="Y438" i="3"/>
  <c r="CY438" i="3"/>
  <c r="CZ438" i="3"/>
  <c r="DA438" i="3"/>
  <c r="DB438" i="3"/>
  <c r="DC438" i="3"/>
  <c r="A439" i="3"/>
  <c r="Y439" i="3"/>
  <c r="CY439" i="3"/>
  <c r="CZ439" i="3"/>
  <c r="DA439" i="3"/>
  <c r="DB439" i="3"/>
  <c r="DC439" i="3"/>
  <c r="A440" i="3"/>
  <c r="Y440" i="3"/>
  <c r="CY440" i="3"/>
  <c r="CZ440" i="3"/>
  <c r="DB440" i="3" s="1"/>
  <c r="DA440" i="3"/>
  <c r="DC440" i="3"/>
  <c r="A441" i="3"/>
  <c r="Y441" i="3"/>
  <c r="CY441" i="3"/>
  <c r="CZ441" i="3"/>
  <c r="DB441" i="3" s="1"/>
  <c r="DA441" i="3"/>
  <c r="DC441" i="3"/>
  <c r="A442" i="3"/>
  <c r="Y442" i="3"/>
  <c r="CY442" i="3"/>
  <c r="CZ442" i="3"/>
  <c r="DA442" i="3"/>
  <c r="DB442" i="3"/>
  <c r="DC442" i="3"/>
  <c r="A443" i="3"/>
  <c r="Y443" i="3"/>
  <c r="CY443" i="3"/>
  <c r="CZ443" i="3"/>
  <c r="DA443" i="3"/>
  <c r="DB443" i="3"/>
  <c r="DC443" i="3"/>
  <c r="A444" i="3"/>
  <c r="Y444" i="3"/>
  <c r="CY444" i="3"/>
  <c r="CZ444" i="3"/>
  <c r="DB444" i="3" s="1"/>
  <c r="DA444" i="3"/>
  <c r="DC444" i="3"/>
  <c r="A445" i="3"/>
  <c r="Y445" i="3"/>
  <c r="CY445" i="3"/>
  <c r="CZ445" i="3"/>
  <c r="DB445" i="3" s="1"/>
  <c r="DA445" i="3"/>
  <c r="DC445" i="3"/>
  <c r="A446" i="3"/>
  <c r="Y446" i="3"/>
  <c r="CY446" i="3"/>
  <c r="CZ446" i="3"/>
  <c r="DA446" i="3"/>
  <c r="DB446" i="3"/>
  <c r="DC446" i="3"/>
  <c r="A447" i="3"/>
  <c r="Y447" i="3"/>
  <c r="CY447" i="3"/>
  <c r="CZ447" i="3"/>
  <c r="DA447" i="3"/>
  <c r="DB447" i="3"/>
  <c r="DC447" i="3"/>
  <c r="A448" i="3"/>
  <c r="Y448" i="3"/>
  <c r="CY448" i="3"/>
  <c r="CZ448" i="3"/>
  <c r="DA448" i="3"/>
  <c r="DB448" i="3"/>
  <c r="DC448" i="3"/>
  <c r="A449" i="3"/>
  <c r="Y449" i="3"/>
  <c r="CY449" i="3"/>
  <c r="CZ449" i="3"/>
  <c r="DB449" i="3" s="1"/>
  <c r="DA449" i="3"/>
  <c r="DC449" i="3"/>
  <c r="A450" i="3"/>
  <c r="Y450" i="3"/>
  <c r="CY450" i="3"/>
  <c r="CZ450" i="3"/>
  <c r="DB450" i="3" s="1"/>
  <c r="DA450" i="3"/>
  <c r="DC450" i="3"/>
  <c r="A451" i="3"/>
  <c r="Y451" i="3"/>
  <c r="CY451" i="3"/>
  <c r="CZ451" i="3"/>
  <c r="DB451" i="3" s="1"/>
  <c r="DA451" i="3"/>
  <c r="DC451" i="3"/>
  <c r="A452" i="3"/>
  <c r="Y452" i="3"/>
  <c r="CY452" i="3"/>
  <c r="CZ452" i="3"/>
  <c r="DA452" i="3"/>
  <c r="DB452" i="3"/>
  <c r="DC452" i="3"/>
  <c r="A453" i="3"/>
  <c r="Y453" i="3"/>
  <c r="CY453" i="3"/>
  <c r="CZ453" i="3"/>
  <c r="DA453" i="3"/>
  <c r="DB453" i="3"/>
  <c r="DC453" i="3"/>
  <c r="A454" i="3"/>
  <c r="Y454" i="3"/>
  <c r="CY454" i="3"/>
  <c r="CZ454" i="3"/>
  <c r="DB454" i="3" s="1"/>
  <c r="DA454" i="3"/>
  <c r="DC454" i="3"/>
  <c r="A455" i="3"/>
  <c r="Y455" i="3"/>
  <c r="CY455" i="3"/>
  <c r="CZ455" i="3"/>
  <c r="DB455" i="3" s="1"/>
  <c r="DA455" i="3"/>
  <c r="DC455" i="3"/>
  <c r="A456" i="3"/>
  <c r="Y456" i="3"/>
  <c r="CY456" i="3"/>
  <c r="CZ456" i="3"/>
  <c r="DA456" i="3"/>
  <c r="DB456" i="3"/>
  <c r="DC456" i="3"/>
  <c r="A457" i="3"/>
  <c r="Y457" i="3"/>
  <c r="CY457" i="3"/>
  <c r="CZ457" i="3"/>
  <c r="DA457" i="3"/>
  <c r="DB457" i="3"/>
  <c r="DC457" i="3"/>
  <c r="A458" i="3"/>
  <c r="Y458" i="3"/>
  <c r="CY458" i="3"/>
  <c r="CZ458" i="3"/>
  <c r="DB458" i="3" s="1"/>
  <c r="DA458" i="3"/>
  <c r="DC458" i="3"/>
  <c r="A459" i="3"/>
  <c r="Y459" i="3"/>
  <c r="CY459" i="3"/>
  <c r="CZ459" i="3"/>
  <c r="DB459" i="3" s="1"/>
  <c r="DA459" i="3"/>
  <c r="DC459" i="3"/>
  <c r="A460" i="3"/>
  <c r="Y460" i="3"/>
  <c r="CY460" i="3"/>
  <c r="CZ460" i="3"/>
  <c r="DA460" i="3"/>
  <c r="DB460" i="3"/>
  <c r="DC460" i="3"/>
  <c r="A461" i="3"/>
  <c r="Y461" i="3"/>
  <c r="CY461" i="3"/>
  <c r="CZ461" i="3"/>
  <c r="DA461" i="3"/>
  <c r="DB461" i="3"/>
  <c r="DC461" i="3"/>
  <c r="A462" i="3"/>
  <c r="Y462" i="3"/>
  <c r="CV462" i="3" s="1"/>
  <c r="CU462" i="3"/>
  <c r="CY462" i="3"/>
  <c r="CZ462" i="3"/>
  <c r="DA462" i="3"/>
  <c r="DB462" i="3"/>
  <c r="DC462" i="3"/>
  <c r="A463" i="3"/>
  <c r="Y463" i="3"/>
  <c r="CW463" i="3" s="1"/>
  <c r="CY463" i="3"/>
  <c r="CZ463" i="3"/>
  <c r="DB463" i="3" s="1"/>
  <c r="DA463" i="3"/>
  <c r="DC463" i="3"/>
  <c r="A464" i="3"/>
  <c r="Y464" i="3"/>
  <c r="CW464" i="3"/>
  <c r="CX464" i="3"/>
  <c r="DF464" i="3" s="1"/>
  <c r="CY464" i="3"/>
  <c r="CZ464" i="3"/>
  <c r="DB464" i="3" s="1"/>
  <c r="DA464" i="3"/>
  <c r="DC464" i="3"/>
  <c r="DH464" i="3"/>
  <c r="A465" i="3"/>
  <c r="Y465" i="3"/>
  <c r="CX465" i="3" s="1"/>
  <c r="CW465" i="3"/>
  <c r="CY465" i="3"/>
  <c r="CZ465" i="3"/>
  <c r="DB465" i="3" s="1"/>
  <c r="DA465" i="3"/>
  <c r="DC465" i="3"/>
  <c r="A466" i="3"/>
  <c r="Y466" i="3"/>
  <c r="CX466" i="3"/>
  <c r="DI466" i="3" s="1"/>
  <c r="CY466" i="3"/>
  <c r="CZ466" i="3"/>
  <c r="DB466" i="3" s="1"/>
  <c r="DA466" i="3"/>
  <c r="DC466" i="3"/>
  <c r="DH466" i="3"/>
  <c r="A467" i="3"/>
  <c r="Y467" i="3"/>
  <c r="CX467" i="3"/>
  <c r="DF467" i="3" s="1"/>
  <c r="DJ467" i="3" s="1"/>
  <c r="CY467" i="3"/>
  <c r="CZ467" i="3"/>
  <c r="DA467" i="3"/>
  <c r="DB467" i="3"/>
  <c r="DC467" i="3"/>
  <c r="DH467" i="3"/>
  <c r="A468" i="3"/>
  <c r="Y468" i="3"/>
  <c r="CX468" i="3" s="1"/>
  <c r="CY468" i="3"/>
  <c r="CZ468" i="3"/>
  <c r="DA468" i="3"/>
  <c r="DB468" i="3"/>
  <c r="DC468" i="3"/>
  <c r="A469" i="3"/>
  <c r="Y469" i="3"/>
  <c r="CX469" i="3" s="1"/>
  <c r="CY469" i="3"/>
  <c r="CZ469" i="3"/>
  <c r="DB469" i="3" s="1"/>
  <c r="DA469" i="3"/>
  <c r="DC469" i="3"/>
  <c r="A470" i="3"/>
  <c r="Y470" i="3"/>
  <c r="CX470" i="3"/>
  <c r="DF470" i="3" s="1"/>
  <c r="DJ470" i="3" s="1"/>
  <c r="CY470" i="3"/>
  <c r="CZ470" i="3"/>
  <c r="DB470" i="3" s="1"/>
  <c r="DA470" i="3"/>
  <c r="DC470" i="3"/>
  <c r="DH470" i="3"/>
  <c r="DI470" i="3"/>
  <c r="A471" i="3"/>
  <c r="Y471" i="3"/>
  <c r="CX471" i="3"/>
  <c r="DG471" i="3" s="1"/>
  <c r="CY471" i="3"/>
  <c r="CZ471" i="3"/>
  <c r="DA471" i="3"/>
  <c r="DB471" i="3"/>
  <c r="DC471" i="3"/>
  <c r="DH471" i="3"/>
  <c r="A472" i="3"/>
  <c r="Y472" i="3"/>
  <c r="CX472" i="3" s="1"/>
  <c r="CY472" i="3"/>
  <c r="CZ472" i="3"/>
  <c r="DB472" i="3" s="1"/>
  <c r="DA472" i="3"/>
  <c r="DC472" i="3"/>
  <c r="A473" i="3"/>
  <c r="Y473" i="3"/>
  <c r="CX473" i="3"/>
  <c r="DG473" i="3" s="1"/>
  <c r="CY473" i="3"/>
  <c r="CZ473" i="3"/>
  <c r="DB473" i="3" s="1"/>
  <c r="DA473" i="3"/>
  <c r="DC473" i="3"/>
  <c r="DF473" i="3"/>
  <c r="DJ473" i="3" s="1"/>
  <c r="DH473" i="3"/>
  <c r="DI473" i="3"/>
  <c r="A474" i="3"/>
  <c r="Y474" i="3"/>
  <c r="CX474" i="3"/>
  <c r="DF474" i="3" s="1"/>
  <c r="DJ474" i="3" s="1"/>
  <c r="CY474" i="3"/>
  <c r="CZ474" i="3"/>
  <c r="DA474" i="3"/>
  <c r="DB474" i="3"/>
  <c r="DC474" i="3"/>
  <c r="DH474" i="3"/>
  <c r="DI474" i="3"/>
  <c r="A475" i="3"/>
  <c r="Y475" i="3"/>
  <c r="CY475" i="3"/>
  <c r="CZ475" i="3"/>
  <c r="DB475" i="3" s="1"/>
  <c r="DA475" i="3"/>
  <c r="DC475" i="3"/>
  <c r="A476" i="3"/>
  <c r="Y476" i="3"/>
  <c r="CY476" i="3"/>
  <c r="CZ476" i="3"/>
  <c r="DA476" i="3"/>
  <c r="DB476" i="3"/>
  <c r="DC476" i="3"/>
  <c r="A477" i="3"/>
  <c r="Y477" i="3"/>
  <c r="CY477" i="3"/>
  <c r="CZ477" i="3"/>
  <c r="DB477" i="3" s="1"/>
  <c r="DA477" i="3"/>
  <c r="DC477" i="3"/>
  <c r="A478" i="3"/>
  <c r="Y478" i="3"/>
  <c r="CY478" i="3"/>
  <c r="CZ478" i="3"/>
  <c r="DA478" i="3"/>
  <c r="DB478" i="3"/>
  <c r="DC478" i="3"/>
  <c r="A479" i="3"/>
  <c r="Y479" i="3"/>
  <c r="CY479" i="3"/>
  <c r="CZ479" i="3"/>
  <c r="DA479" i="3"/>
  <c r="DB479" i="3"/>
  <c r="DC479" i="3"/>
  <c r="A480" i="3"/>
  <c r="Y480" i="3"/>
  <c r="CY480" i="3"/>
  <c r="CZ480" i="3"/>
  <c r="DB480" i="3" s="1"/>
  <c r="DA480" i="3"/>
  <c r="DC480" i="3"/>
  <c r="A481" i="3"/>
  <c r="Y481" i="3"/>
  <c r="CY481" i="3"/>
  <c r="CZ481" i="3"/>
  <c r="DB481" i="3" s="1"/>
  <c r="DA481" i="3"/>
  <c r="DC481" i="3"/>
  <c r="A482" i="3"/>
  <c r="Y482" i="3"/>
  <c r="CY482" i="3"/>
  <c r="CZ482" i="3"/>
  <c r="DA482" i="3"/>
  <c r="DB482" i="3"/>
  <c r="DC482" i="3"/>
  <c r="A483" i="3"/>
  <c r="Y483" i="3"/>
  <c r="CY483" i="3"/>
  <c r="CZ483" i="3"/>
  <c r="DB483" i="3" s="1"/>
  <c r="DA483" i="3"/>
  <c r="DC483" i="3"/>
  <c r="A484" i="3"/>
  <c r="Y484" i="3"/>
  <c r="CY484" i="3"/>
  <c r="CZ484" i="3"/>
  <c r="DA484" i="3"/>
  <c r="DB484" i="3"/>
  <c r="DC484" i="3"/>
  <c r="A485" i="3"/>
  <c r="Y485" i="3"/>
  <c r="CY485" i="3"/>
  <c r="CZ485" i="3"/>
  <c r="DB485" i="3" s="1"/>
  <c r="DA485" i="3"/>
  <c r="DC485" i="3"/>
  <c r="A486" i="3"/>
  <c r="Y486" i="3"/>
  <c r="CY486" i="3"/>
  <c r="CZ486" i="3"/>
  <c r="DA486" i="3"/>
  <c r="DB486" i="3"/>
  <c r="DC486" i="3"/>
  <c r="A487" i="3"/>
  <c r="Y487" i="3"/>
  <c r="CY487" i="3"/>
  <c r="CZ487" i="3"/>
  <c r="DB487" i="3" s="1"/>
  <c r="DA487" i="3"/>
  <c r="DC487" i="3"/>
  <c r="A488" i="3"/>
  <c r="Y488" i="3"/>
  <c r="CY488" i="3"/>
  <c r="CZ488" i="3"/>
  <c r="DB488" i="3" s="1"/>
  <c r="DA488" i="3"/>
  <c r="DC488" i="3"/>
  <c r="A489" i="3"/>
  <c r="Y489" i="3"/>
  <c r="CY489" i="3"/>
  <c r="CZ489" i="3"/>
  <c r="DA489" i="3"/>
  <c r="DB489" i="3"/>
  <c r="DC489" i="3"/>
  <c r="A490" i="3"/>
  <c r="Y490" i="3"/>
  <c r="CY490" i="3"/>
  <c r="CZ490" i="3"/>
  <c r="DA490" i="3"/>
  <c r="DB490" i="3"/>
  <c r="DC490" i="3"/>
  <c r="A491" i="3"/>
  <c r="Y491" i="3"/>
  <c r="CY491" i="3"/>
  <c r="CZ491" i="3"/>
  <c r="DB491" i="3" s="1"/>
  <c r="DA491" i="3"/>
  <c r="DC491" i="3"/>
  <c r="A492" i="3"/>
  <c r="Y492" i="3"/>
  <c r="CY492" i="3"/>
  <c r="CZ492" i="3"/>
  <c r="DA492" i="3"/>
  <c r="DB492" i="3"/>
  <c r="DC492" i="3"/>
  <c r="A493" i="3"/>
  <c r="Y493" i="3"/>
  <c r="CY493" i="3"/>
  <c r="CZ493" i="3"/>
  <c r="DB493" i="3" s="1"/>
  <c r="DA493" i="3"/>
  <c r="DC493" i="3"/>
  <c r="A494" i="3"/>
  <c r="Y494" i="3"/>
  <c r="CY494" i="3"/>
  <c r="CZ494" i="3"/>
  <c r="DA494" i="3"/>
  <c r="DB494" i="3"/>
  <c r="DC494" i="3"/>
  <c r="A495" i="3"/>
  <c r="Y495" i="3"/>
  <c r="CY495" i="3"/>
  <c r="CZ495" i="3"/>
  <c r="DB495" i="3" s="1"/>
  <c r="DA495" i="3"/>
  <c r="DC495" i="3"/>
  <c r="A496" i="3"/>
  <c r="Y496" i="3"/>
  <c r="CY496" i="3"/>
  <c r="CZ496" i="3"/>
  <c r="DA496" i="3"/>
  <c r="DB496" i="3"/>
  <c r="DC496" i="3"/>
  <c r="A497" i="3"/>
  <c r="Y497" i="3"/>
  <c r="CY497" i="3"/>
  <c r="CZ497" i="3"/>
  <c r="DB497" i="3" s="1"/>
  <c r="DA497" i="3"/>
  <c r="DC497" i="3"/>
  <c r="A498" i="3"/>
  <c r="Y498" i="3"/>
  <c r="CY498" i="3"/>
  <c r="CZ498" i="3"/>
  <c r="DB498" i="3" s="1"/>
  <c r="DA498" i="3"/>
  <c r="DC498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I28" i="1"/>
  <c r="V28" i="1" s="1"/>
  <c r="K28" i="1"/>
  <c r="AC28" i="1"/>
  <c r="AB28" i="1" s="1"/>
  <c r="AE28" i="1"/>
  <c r="AD28" i="1" s="1"/>
  <c r="AF28" i="1"/>
  <c r="CT28" i="1" s="1"/>
  <c r="S28" i="1" s="1"/>
  <c r="AG28" i="1"/>
  <c r="AH28" i="1"/>
  <c r="CV28" i="1" s="1"/>
  <c r="U28" i="1" s="1"/>
  <c r="AI28" i="1"/>
  <c r="AJ28" i="1"/>
  <c r="CQ28" i="1"/>
  <c r="P28" i="1" s="1"/>
  <c r="CR28" i="1"/>
  <c r="Q28" i="1" s="1"/>
  <c r="CU28" i="1"/>
  <c r="CW28" i="1"/>
  <c r="CX28" i="1"/>
  <c r="W28" i="1" s="1"/>
  <c r="FR28" i="1"/>
  <c r="GL28" i="1"/>
  <c r="GO28" i="1"/>
  <c r="GP28" i="1"/>
  <c r="GV28" i="1"/>
  <c r="GX28" i="1"/>
  <c r="HC28" i="1"/>
  <c r="C29" i="1"/>
  <c r="D29" i="1"/>
  <c r="I29" i="1"/>
  <c r="K29" i="1"/>
  <c r="Q29" i="1"/>
  <c r="AC29" i="1"/>
  <c r="CQ29" i="1" s="1"/>
  <c r="P29" i="1" s="1"/>
  <c r="CP29" i="1" s="1"/>
  <c r="O29" i="1" s="1"/>
  <c r="AE29" i="1"/>
  <c r="AD29" i="1" s="1"/>
  <c r="AB29" i="1" s="1"/>
  <c r="AF29" i="1"/>
  <c r="CT29" i="1" s="1"/>
  <c r="S29" i="1" s="1"/>
  <c r="AG29" i="1"/>
  <c r="AH29" i="1"/>
  <c r="AI29" i="1"/>
  <c r="CW29" i="1" s="1"/>
  <c r="V29" i="1" s="1"/>
  <c r="AJ29" i="1"/>
  <c r="CX29" i="1" s="1"/>
  <c r="W29" i="1" s="1"/>
  <c r="CR29" i="1"/>
  <c r="CU29" i="1"/>
  <c r="T29" i="1" s="1"/>
  <c r="CV29" i="1"/>
  <c r="U29" i="1" s="1"/>
  <c r="FR29" i="1"/>
  <c r="GL29" i="1"/>
  <c r="GO29" i="1"/>
  <c r="GP29" i="1"/>
  <c r="GV29" i="1"/>
  <c r="GX29" i="1"/>
  <c r="HC29" i="1"/>
  <c r="C30" i="1"/>
  <c r="D30" i="1"/>
  <c r="I30" i="1"/>
  <c r="K30" i="1"/>
  <c r="U30" i="1"/>
  <c r="AC30" i="1"/>
  <c r="AB30" i="1" s="1"/>
  <c r="AE30" i="1"/>
  <c r="AD30" i="1" s="1"/>
  <c r="AF30" i="1"/>
  <c r="CT30" i="1" s="1"/>
  <c r="S30" i="1" s="1"/>
  <c r="AG30" i="1"/>
  <c r="CU30" i="1" s="1"/>
  <c r="T30" i="1" s="1"/>
  <c r="AH30" i="1"/>
  <c r="AI30" i="1"/>
  <c r="CW30" i="1" s="1"/>
  <c r="V30" i="1" s="1"/>
  <c r="AJ30" i="1"/>
  <c r="CQ30" i="1"/>
  <c r="P30" i="1" s="1"/>
  <c r="CR30" i="1"/>
  <c r="Q30" i="1" s="1"/>
  <c r="CV30" i="1"/>
  <c r="CX30" i="1"/>
  <c r="FR30" i="1"/>
  <c r="GL30" i="1"/>
  <c r="GO30" i="1"/>
  <c r="GP30" i="1"/>
  <c r="GV30" i="1"/>
  <c r="GX30" i="1"/>
  <c r="HC30" i="1"/>
  <c r="AC31" i="1"/>
  <c r="AB31" i="1" s="1"/>
  <c r="AD31" i="1"/>
  <c r="AE31" i="1"/>
  <c r="CS31" i="1" s="1"/>
  <c r="AF31" i="1"/>
  <c r="CT31" i="1" s="1"/>
  <c r="AG31" i="1"/>
  <c r="AH31" i="1"/>
  <c r="CV31" i="1" s="1"/>
  <c r="AI31" i="1"/>
  <c r="AJ31" i="1"/>
  <c r="CQ31" i="1"/>
  <c r="CR31" i="1"/>
  <c r="CU31" i="1"/>
  <c r="CW31" i="1"/>
  <c r="CX31" i="1"/>
  <c r="FR31" i="1"/>
  <c r="GL31" i="1"/>
  <c r="GO31" i="1"/>
  <c r="GP31" i="1"/>
  <c r="GV31" i="1"/>
  <c r="HC31" i="1" s="1"/>
  <c r="AC32" i="1"/>
  <c r="AB32" i="1" s="1"/>
  <c r="AD32" i="1"/>
  <c r="AE32" i="1"/>
  <c r="CS32" i="1" s="1"/>
  <c r="AF32" i="1"/>
  <c r="AG32" i="1"/>
  <c r="CU32" i="1" s="1"/>
  <c r="AH32" i="1"/>
  <c r="CV32" i="1" s="1"/>
  <c r="AI32" i="1"/>
  <c r="AJ32" i="1"/>
  <c r="CR32" i="1"/>
  <c r="CT32" i="1"/>
  <c r="CW32" i="1"/>
  <c r="CX32" i="1"/>
  <c r="FR32" i="1"/>
  <c r="GL32" i="1"/>
  <c r="GO32" i="1"/>
  <c r="GP32" i="1"/>
  <c r="GV32" i="1"/>
  <c r="HC32" i="1" s="1"/>
  <c r="C33" i="1"/>
  <c r="D33" i="1"/>
  <c r="I33" i="1"/>
  <c r="K33" i="1"/>
  <c r="W33" i="1"/>
  <c r="AC33" i="1"/>
  <c r="AB33" i="1" s="1"/>
  <c r="AE33" i="1"/>
  <c r="AD33" i="1" s="1"/>
  <c r="AF33" i="1"/>
  <c r="AG33" i="1"/>
  <c r="CU33" i="1" s="1"/>
  <c r="T33" i="1" s="1"/>
  <c r="AH33" i="1"/>
  <c r="CV33" i="1" s="1"/>
  <c r="U33" i="1" s="1"/>
  <c r="AI33" i="1"/>
  <c r="CW33" i="1" s="1"/>
  <c r="V33" i="1" s="1"/>
  <c r="AJ33" i="1"/>
  <c r="CR33" i="1"/>
  <c r="Q33" i="1" s="1"/>
  <c r="CS33" i="1"/>
  <c r="R33" i="1" s="1"/>
  <c r="CT33" i="1"/>
  <c r="S33" i="1" s="1"/>
  <c r="CX33" i="1"/>
  <c r="FR33" i="1"/>
  <c r="GL33" i="1"/>
  <c r="GO33" i="1"/>
  <c r="GP33" i="1"/>
  <c r="GV33" i="1"/>
  <c r="GX33" i="1"/>
  <c r="HC33" i="1"/>
  <c r="I34" i="1"/>
  <c r="V34" i="1"/>
  <c r="AC34" i="1"/>
  <c r="AD34" i="1"/>
  <c r="AE34" i="1"/>
  <c r="AF34" i="1"/>
  <c r="AB34" i="1" s="1"/>
  <c r="AG34" i="1"/>
  <c r="CU34" i="1" s="1"/>
  <c r="T34" i="1" s="1"/>
  <c r="AH34" i="1"/>
  <c r="CV34" i="1" s="1"/>
  <c r="U34" i="1" s="1"/>
  <c r="AI34" i="1"/>
  <c r="AJ34" i="1"/>
  <c r="CX34" i="1" s="1"/>
  <c r="W34" i="1" s="1"/>
  <c r="CQ34" i="1"/>
  <c r="P34" i="1" s="1"/>
  <c r="CR34" i="1"/>
  <c r="Q34" i="1" s="1"/>
  <c r="CS34" i="1"/>
  <c r="R34" i="1" s="1"/>
  <c r="CW34" i="1"/>
  <c r="FR34" i="1"/>
  <c r="GL34" i="1"/>
  <c r="GO34" i="1"/>
  <c r="GP34" i="1"/>
  <c r="GV34" i="1"/>
  <c r="HC34" i="1"/>
  <c r="GX34" i="1" s="1"/>
  <c r="C35" i="1"/>
  <c r="D35" i="1"/>
  <c r="I35" i="1"/>
  <c r="K35" i="1"/>
  <c r="R35" i="1"/>
  <c r="AC35" i="1"/>
  <c r="CQ35" i="1" s="1"/>
  <c r="P35" i="1" s="1"/>
  <c r="CP35" i="1" s="1"/>
  <c r="O35" i="1" s="1"/>
  <c r="AE35" i="1"/>
  <c r="AD35" i="1" s="1"/>
  <c r="AB35" i="1" s="1"/>
  <c r="AF35" i="1"/>
  <c r="CT35" i="1" s="1"/>
  <c r="S35" i="1" s="1"/>
  <c r="AG35" i="1"/>
  <c r="AH35" i="1"/>
  <c r="CV35" i="1" s="1"/>
  <c r="U35" i="1" s="1"/>
  <c r="AI35" i="1"/>
  <c r="AJ35" i="1"/>
  <c r="CX35" i="1" s="1"/>
  <c r="W35" i="1" s="1"/>
  <c r="CR35" i="1"/>
  <c r="Q35" i="1" s="1"/>
  <c r="CS35" i="1"/>
  <c r="CU35" i="1"/>
  <c r="T35" i="1" s="1"/>
  <c r="CW35" i="1"/>
  <c r="V35" i="1" s="1"/>
  <c r="FR35" i="1"/>
  <c r="GL35" i="1"/>
  <c r="GO35" i="1"/>
  <c r="GP35" i="1"/>
  <c r="GV35" i="1"/>
  <c r="HC35" i="1"/>
  <c r="GX35" i="1" s="1"/>
  <c r="C36" i="1"/>
  <c r="D36" i="1"/>
  <c r="I36" i="1"/>
  <c r="K36" i="1"/>
  <c r="V36" i="1"/>
  <c r="AC36" i="1"/>
  <c r="AE36" i="1"/>
  <c r="AD36" i="1" s="1"/>
  <c r="AB36" i="1" s="1"/>
  <c r="AF36" i="1"/>
  <c r="CT36" i="1" s="1"/>
  <c r="S36" i="1" s="1"/>
  <c r="AG36" i="1"/>
  <c r="CU36" i="1" s="1"/>
  <c r="T36" i="1" s="1"/>
  <c r="AH36" i="1"/>
  <c r="AI36" i="1"/>
  <c r="AJ36" i="1"/>
  <c r="CX36" i="1" s="1"/>
  <c r="W36" i="1" s="1"/>
  <c r="CQ36" i="1"/>
  <c r="P36" i="1" s="1"/>
  <c r="CP36" i="1" s="1"/>
  <c r="O36" i="1" s="1"/>
  <c r="CR36" i="1"/>
  <c r="Q36" i="1" s="1"/>
  <c r="CS36" i="1"/>
  <c r="R36" i="1" s="1"/>
  <c r="CV36" i="1"/>
  <c r="U36" i="1" s="1"/>
  <c r="CW36" i="1"/>
  <c r="FR36" i="1"/>
  <c r="GL36" i="1"/>
  <c r="GO36" i="1"/>
  <c r="GP36" i="1"/>
  <c r="GV36" i="1"/>
  <c r="HC36" i="1"/>
  <c r="GX36" i="1" s="1"/>
  <c r="B38" i="1"/>
  <c r="B26" i="1" s="1"/>
  <c r="C38" i="1"/>
  <c r="C26" i="1" s="1"/>
  <c r="D38" i="1"/>
  <c r="D26" i="1" s="1"/>
  <c r="F38" i="1"/>
  <c r="F26" i="1" s="1"/>
  <c r="G38" i="1"/>
  <c r="G26" i="1" s="1"/>
  <c r="BX38" i="1"/>
  <c r="BX26" i="1" s="1"/>
  <c r="BY38" i="1"/>
  <c r="BY26" i="1" s="1"/>
  <c r="BZ38" i="1"/>
  <c r="BZ26" i="1" s="1"/>
  <c r="CC38" i="1"/>
  <c r="CC26" i="1" s="1"/>
  <c r="CD38" i="1"/>
  <c r="AU38" i="1" s="1"/>
  <c r="CG38" i="1"/>
  <c r="CG26" i="1" s="1"/>
  <c r="CK38" i="1"/>
  <c r="CK26" i="1" s="1"/>
  <c r="CL38" i="1"/>
  <c r="BC38" i="1" s="1"/>
  <c r="CM38" i="1"/>
  <c r="CM26" i="1" s="1"/>
  <c r="D76" i="1"/>
  <c r="E78" i="1"/>
  <c r="Z78" i="1"/>
  <c r="AA78" i="1"/>
  <c r="AM78" i="1"/>
  <c r="AN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C80" i="1"/>
  <c r="D80" i="1"/>
  <c r="I80" i="1"/>
  <c r="K80" i="1"/>
  <c r="Q80" i="1"/>
  <c r="V80" i="1"/>
  <c r="AC80" i="1"/>
  <c r="CQ80" i="1" s="1"/>
  <c r="P80" i="1" s="1"/>
  <c r="CP80" i="1" s="1"/>
  <c r="O80" i="1" s="1"/>
  <c r="AE80" i="1"/>
  <c r="AD80" i="1" s="1"/>
  <c r="AF80" i="1"/>
  <c r="CT80" i="1" s="1"/>
  <c r="S80" i="1" s="1"/>
  <c r="AG80" i="1"/>
  <c r="CU80" i="1" s="1"/>
  <c r="T80" i="1" s="1"/>
  <c r="AH80" i="1"/>
  <c r="AI80" i="1"/>
  <c r="AJ80" i="1"/>
  <c r="CX80" i="1" s="1"/>
  <c r="W80" i="1" s="1"/>
  <c r="CR80" i="1"/>
  <c r="CS80" i="1"/>
  <c r="R80" i="1" s="1"/>
  <c r="CV80" i="1"/>
  <c r="U80" i="1" s="1"/>
  <c r="CW80" i="1"/>
  <c r="FR80" i="1"/>
  <c r="GL80" i="1"/>
  <c r="GO80" i="1"/>
  <c r="GP80" i="1"/>
  <c r="GV80" i="1"/>
  <c r="HC80" i="1"/>
  <c r="GX80" i="1" s="1"/>
  <c r="I81" i="1"/>
  <c r="P81" i="1" s="1"/>
  <c r="U81" i="1"/>
  <c r="AC81" i="1"/>
  <c r="AE81" i="1"/>
  <c r="AF81" i="1"/>
  <c r="CT81" i="1" s="1"/>
  <c r="S81" i="1" s="1"/>
  <c r="AG81" i="1"/>
  <c r="AH81" i="1"/>
  <c r="AI81" i="1"/>
  <c r="CW81" i="1" s="1"/>
  <c r="V81" i="1" s="1"/>
  <c r="AJ81" i="1"/>
  <c r="CX81" i="1" s="1"/>
  <c r="W81" i="1" s="1"/>
  <c r="CQ81" i="1"/>
  <c r="CU81" i="1"/>
  <c r="T81" i="1" s="1"/>
  <c r="CV81" i="1"/>
  <c r="FR81" i="1"/>
  <c r="GL81" i="1"/>
  <c r="GO81" i="1"/>
  <c r="GP81" i="1"/>
  <c r="GV81" i="1"/>
  <c r="GX81" i="1"/>
  <c r="HC81" i="1"/>
  <c r="I82" i="1"/>
  <c r="T82" i="1"/>
  <c r="W82" i="1"/>
  <c r="AC82" i="1"/>
  <c r="AD82" i="1"/>
  <c r="AE82" i="1"/>
  <c r="CS82" i="1" s="1"/>
  <c r="R82" i="1" s="1"/>
  <c r="AF82" i="1"/>
  <c r="AG82" i="1"/>
  <c r="AH82" i="1"/>
  <c r="CV82" i="1" s="1"/>
  <c r="U82" i="1" s="1"/>
  <c r="AI82" i="1"/>
  <c r="CW82" i="1" s="1"/>
  <c r="V82" i="1" s="1"/>
  <c r="AJ82" i="1"/>
  <c r="CQ82" i="1"/>
  <c r="P82" i="1" s="1"/>
  <c r="CR82" i="1"/>
  <c r="Q82" i="1" s="1"/>
  <c r="CT82" i="1"/>
  <c r="S82" i="1" s="1"/>
  <c r="CZ82" i="1" s="1"/>
  <c r="Y82" i="1" s="1"/>
  <c r="CU82" i="1"/>
  <c r="CX82" i="1"/>
  <c r="CY82" i="1"/>
  <c r="X82" i="1" s="1"/>
  <c r="FR82" i="1"/>
  <c r="GL82" i="1"/>
  <c r="GO82" i="1"/>
  <c r="GP82" i="1"/>
  <c r="GV82" i="1"/>
  <c r="HC82" i="1" s="1"/>
  <c r="GX82" i="1" s="1"/>
  <c r="T83" i="1"/>
  <c r="W83" i="1"/>
  <c r="AC83" i="1"/>
  <c r="AB83" i="1" s="1"/>
  <c r="AD83" i="1"/>
  <c r="AE83" i="1"/>
  <c r="CS83" i="1" s="1"/>
  <c r="R83" i="1" s="1"/>
  <c r="AF83" i="1"/>
  <c r="AG83" i="1"/>
  <c r="AH83" i="1"/>
  <c r="CV83" i="1" s="1"/>
  <c r="U83" i="1" s="1"/>
  <c r="AI83" i="1"/>
  <c r="CW83" i="1" s="1"/>
  <c r="V83" i="1" s="1"/>
  <c r="AJ83" i="1"/>
  <c r="CQ83" i="1"/>
  <c r="P83" i="1" s="1"/>
  <c r="CR83" i="1"/>
  <c r="Q83" i="1" s="1"/>
  <c r="CT83" i="1"/>
  <c r="S83" i="1" s="1"/>
  <c r="CU83" i="1"/>
  <c r="CX83" i="1"/>
  <c r="CY83" i="1"/>
  <c r="X83" i="1" s="1"/>
  <c r="CZ83" i="1"/>
  <c r="Y83" i="1" s="1"/>
  <c r="FR83" i="1"/>
  <c r="GL83" i="1"/>
  <c r="GO83" i="1"/>
  <c r="GP83" i="1"/>
  <c r="GV83" i="1"/>
  <c r="HC83" i="1" s="1"/>
  <c r="GX83" i="1"/>
  <c r="C84" i="1"/>
  <c r="D84" i="1"/>
  <c r="I84" i="1"/>
  <c r="K84" i="1"/>
  <c r="P84" i="1"/>
  <c r="Q84" i="1"/>
  <c r="S84" i="1"/>
  <c r="AC84" i="1"/>
  <c r="AB84" i="1" s="1"/>
  <c r="AD84" i="1"/>
  <c r="AE84" i="1"/>
  <c r="CS84" i="1" s="1"/>
  <c r="R84" i="1" s="1"/>
  <c r="CY84" i="1" s="1"/>
  <c r="X84" i="1" s="1"/>
  <c r="AF84" i="1"/>
  <c r="AG84" i="1"/>
  <c r="AH84" i="1"/>
  <c r="AI84" i="1"/>
  <c r="CW84" i="1" s="1"/>
  <c r="V84" i="1" s="1"/>
  <c r="AJ84" i="1"/>
  <c r="CQ84" i="1"/>
  <c r="CR84" i="1"/>
  <c r="CT84" i="1"/>
  <c r="CU84" i="1"/>
  <c r="T84" i="1" s="1"/>
  <c r="CV84" i="1"/>
  <c r="U84" i="1" s="1"/>
  <c r="CX84" i="1"/>
  <c r="W84" i="1" s="1"/>
  <c r="FR84" i="1"/>
  <c r="GL84" i="1"/>
  <c r="GO84" i="1"/>
  <c r="GP84" i="1"/>
  <c r="GV84" i="1"/>
  <c r="HC84" i="1" s="1"/>
  <c r="GX84" i="1" s="1"/>
  <c r="I85" i="1"/>
  <c r="Q85" i="1" s="1"/>
  <c r="R85" i="1"/>
  <c r="W85" i="1"/>
  <c r="AC85" i="1"/>
  <c r="AB85" i="1" s="1"/>
  <c r="AD85" i="1"/>
  <c r="AE85" i="1"/>
  <c r="AF85" i="1"/>
  <c r="AG85" i="1"/>
  <c r="CU85" i="1" s="1"/>
  <c r="T85" i="1" s="1"/>
  <c r="AH85" i="1"/>
  <c r="CV85" i="1" s="1"/>
  <c r="U85" i="1" s="1"/>
  <c r="AI85" i="1"/>
  <c r="AJ85" i="1"/>
  <c r="CR85" i="1"/>
  <c r="CS85" i="1"/>
  <c r="CT85" i="1"/>
  <c r="S85" i="1" s="1"/>
  <c r="CW85" i="1"/>
  <c r="V85" i="1" s="1"/>
  <c r="CX85" i="1"/>
  <c r="FR85" i="1"/>
  <c r="GL85" i="1"/>
  <c r="GO85" i="1"/>
  <c r="GP85" i="1"/>
  <c r="GV85" i="1"/>
  <c r="HC85" i="1"/>
  <c r="GX85" i="1" s="1"/>
  <c r="I86" i="1"/>
  <c r="V86" i="1"/>
  <c r="AC86" i="1"/>
  <c r="AE86" i="1"/>
  <c r="AD86" i="1" s="1"/>
  <c r="AF86" i="1"/>
  <c r="AG86" i="1"/>
  <c r="CU86" i="1" s="1"/>
  <c r="AH86" i="1"/>
  <c r="AI86" i="1"/>
  <c r="AJ86" i="1"/>
  <c r="CX86" i="1" s="1"/>
  <c r="W86" i="1" s="1"/>
  <c r="CQ86" i="1"/>
  <c r="CR86" i="1"/>
  <c r="CS86" i="1"/>
  <c r="CT86" i="1"/>
  <c r="CV86" i="1"/>
  <c r="U86" i="1" s="1"/>
  <c r="CW86" i="1"/>
  <c r="FR86" i="1"/>
  <c r="GL86" i="1"/>
  <c r="GO86" i="1"/>
  <c r="GP86" i="1"/>
  <c r="GV86" i="1"/>
  <c r="HC86" i="1"/>
  <c r="I87" i="1"/>
  <c r="U87" i="1" s="1"/>
  <c r="AC87" i="1"/>
  <c r="AB87" i="1" s="1"/>
  <c r="AE87" i="1"/>
  <c r="AD87" i="1" s="1"/>
  <c r="AF87" i="1"/>
  <c r="CT87" i="1" s="1"/>
  <c r="AG87" i="1"/>
  <c r="AH87" i="1"/>
  <c r="AI87" i="1"/>
  <c r="CW87" i="1" s="1"/>
  <c r="V87" i="1" s="1"/>
  <c r="AJ87" i="1"/>
  <c r="CQ87" i="1"/>
  <c r="CR87" i="1"/>
  <c r="Q87" i="1" s="1"/>
  <c r="CS87" i="1"/>
  <c r="CU87" i="1"/>
  <c r="T87" i="1" s="1"/>
  <c r="CV87" i="1"/>
  <c r="CX87" i="1"/>
  <c r="FR87" i="1"/>
  <c r="GL87" i="1"/>
  <c r="GO87" i="1"/>
  <c r="GP87" i="1"/>
  <c r="GV87" i="1"/>
  <c r="HC87" i="1"/>
  <c r="GX87" i="1" s="1"/>
  <c r="I88" i="1"/>
  <c r="T88" i="1"/>
  <c r="V88" i="1"/>
  <c r="W88" i="1"/>
  <c r="AC88" i="1"/>
  <c r="AE88" i="1"/>
  <c r="CS88" i="1" s="1"/>
  <c r="R88" i="1" s="1"/>
  <c r="AF88" i="1"/>
  <c r="AG88" i="1"/>
  <c r="AH88" i="1"/>
  <c r="CV88" i="1" s="1"/>
  <c r="U88" i="1" s="1"/>
  <c r="AI88" i="1"/>
  <c r="AJ88" i="1"/>
  <c r="CQ88" i="1"/>
  <c r="P88" i="1" s="1"/>
  <c r="CT88" i="1"/>
  <c r="S88" i="1" s="1"/>
  <c r="CU88" i="1"/>
  <c r="CW88" i="1"/>
  <c r="CX88" i="1"/>
  <c r="CY88" i="1"/>
  <c r="X88" i="1" s="1"/>
  <c r="CZ88" i="1"/>
  <c r="Y88" i="1" s="1"/>
  <c r="FR88" i="1"/>
  <c r="GL88" i="1"/>
  <c r="GO88" i="1"/>
  <c r="GP88" i="1"/>
  <c r="GV88" i="1"/>
  <c r="HC88" i="1" s="1"/>
  <c r="GX88" i="1" s="1"/>
  <c r="I89" i="1"/>
  <c r="U89" i="1" s="1"/>
  <c r="S89" i="1"/>
  <c r="CZ89" i="1" s="1"/>
  <c r="Y89" i="1" s="1"/>
  <c r="V89" i="1"/>
  <c r="AC89" i="1"/>
  <c r="AD89" i="1"/>
  <c r="AE89" i="1"/>
  <c r="AF89" i="1"/>
  <c r="AG89" i="1"/>
  <c r="CU89" i="1" s="1"/>
  <c r="T89" i="1" s="1"/>
  <c r="AH89" i="1"/>
  <c r="AI89" i="1"/>
  <c r="AJ89" i="1"/>
  <c r="CQ89" i="1"/>
  <c r="P89" i="1" s="1"/>
  <c r="CP89" i="1" s="1"/>
  <c r="O89" i="1" s="1"/>
  <c r="CR89" i="1"/>
  <c r="Q89" i="1" s="1"/>
  <c r="CS89" i="1"/>
  <c r="R89" i="1" s="1"/>
  <c r="CT89" i="1"/>
  <c r="CV89" i="1"/>
  <c r="CW89" i="1"/>
  <c r="CX89" i="1"/>
  <c r="W89" i="1" s="1"/>
  <c r="FR89" i="1"/>
  <c r="GL89" i="1"/>
  <c r="GO89" i="1"/>
  <c r="GP89" i="1"/>
  <c r="GV89" i="1"/>
  <c r="HC89" i="1" s="1"/>
  <c r="GX89" i="1" s="1"/>
  <c r="I90" i="1"/>
  <c r="T90" i="1" s="1"/>
  <c r="R90" i="1"/>
  <c r="AC90" i="1"/>
  <c r="CQ90" i="1" s="1"/>
  <c r="P90" i="1" s="1"/>
  <c r="AE90" i="1"/>
  <c r="AD90" i="1" s="1"/>
  <c r="AF90" i="1"/>
  <c r="CT90" i="1" s="1"/>
  <c r="S90" i="1" s="1"/>
  <c r="AG90" i="1"/>
  <c r="AH90" i="1"/>
  <c r="AI90" i="1"/>
  <c r="AJ90" i="1"/>
  <c r="CX90" i="1" s="1"/>
  <c r="W90" i="1" s="1"/>
  <c r="CR90" i="1"/>
  <c r="Q90" i="1" s="1"/>
  <c r="CS90" i="1"/>
  <c r="CU90" i="1"/>
  <c r="CV90" i="1"/>
  <c r="CW90" i="1"/>
  <c r="V90" i="1" s="1"/>
  <c r="FR90" i="1"/>
  <c r="GL90" i="1"/>
  <c r="GO90" i="1"/>
  <c r="GP90" i="1"/>
  <c r="GV90" i="1"/>
  <c r="HC90" i="1"/>
  <c r="GX90" i="1" s="1"/>
  <c r="I91" i="1"/>
  <c r="Q91" i="1"/>
  <c r="T91" i="1"/>
  <c r="AC91" i="1"/>
  <c r="AE91" i="1"/>
  <c r="AD91" i="1" s="1"/>
  <c r="AB91" i="1" s="1"/>
  <c r="AF91" i="1"/>
  <c r="CT91" i="1" s="1"/>
  <c r="S91" i="1" s="1"/>
  <c r="AG91" i="1"/>
  <c r="AH91" i="1"/>
  <c r="AI91" i="1"/>
  <c r="CW91" i="1" s="1"/>
  <c r="V91" i="1" s="1"/>
  <c r="AJ91" i="1"/>
  <c r="CX91" i="1" s="1"/>
  <c r="W91" i="1" s="1"/>
  <c r="CQ91" i="1"/>
  <c r="P91" i="1" s="1"/>
  <c r="CR91" i="1"/>
  <c r="CU91" i="1"/>
  <c r="CV91" i="1"/>
  <c r="U91" i="1" s="1"/>
  <c r="FR91" i="1"/>
  <c r="GL91" i="1"/>
  <c r="GO91" i="1"/>
  <c r="GP91" i="1"/>
  <c r="GV91" i="1"/>
  <c r="HC91" i="1" s="1"/>
  <c r="GX91" i="1" s="1"/>
  <c r="I92" i="1"/>
  <c r="P92" i="1"/>
  <c r="Q92" i="1"/>
  <c r="S92" i="1"/>
  <c r="X92" i="1"/>
  <c r="AC92" i="1"/>
  <c r="AB92" i="1" s="1"/>
  <c r="AD92" i="1"/>
  <c r="AE92" i="1"/>
  <c r="CS92" i="1" s="1"/>
  <c r="R92" i="1" s="1"/>
  <c r="CY92" i="1" s="1"/>
  <c r="AF92" i="1"/>
  <c r="AG92" i="1"/>
  <c r="AH92" i="1"/>
  <c r="CV92" i="1" s="1"/>
  <c r="U92" i="1" s="1"/>
  <c r="AI92" i="1"/>
  <c r="CW92" i="1" s="1"/>
  <c r="V92" i="1" s="1"/>
  <c r="AJ92" i="1"/>
  <c r="CQ92" i="1"/>
  <c r="CR92" i="1"/>
  <c r="CT92" i="1"/>
  <c r="CU92" i="1"/>
  <c r="T92" i="1" s="1"/>
  <c r="CX92" i="1"/>
  <c r="W92" i="1" s="1"/>
  <c r="FR92" i="1"/>
  <c r="GL92" i="1"/>
  <c r="GO92" i="1"/>
  <c r="GP92" i="1"/>
  <c r="GV92" i="1"/>
  <c r="HC92" i="1" s="1"/>
  <c r="GX92" i="1" s="1"/>
  <c r="I93" i="1"/>
  <c r="Q93" i="1" s="1"/>
  <c r="R93" i="1"/>
  <c r="S93" i="1"/>
  <c r="AC93" i="1"/>
  <c r="AD93" i="1"/>
  <c r="AE93" i="1"/>
  <c r="AF93" i="1"/>
  <c r="AG93" i="1"/>
  <c r="AH93" i="1"/>
  <c r="CV93" i="1" s="1"/>
  <c r="U93" i="1" s="1"/>
  <c r="AI93" i="1"/>
  <c r="AJ93" i="1"/>
  <c r="CR93" i="1"/>
  <c r="CS93" i="1"/>
  <c r="CT93" i="1"/>
  <c r="CU93" i="1"/>
  <c r="T93" i="1" s="1"/>
  <c r="CW93" i="1"/>
  <c r="V93" i="1" s="1"/>
  <c r="CX93" i="1"/>
  <c r="W93" i="1" s="1"/>
  <c r="FR93" i="1"/>
  <c r="GL93" i="1"/>
  <c r="GO93" i="1"/>
  <c r="GP93" i="1"/>
  <c r="GV93" i="1"/>
  <c r="HC93" i="1"/>
  <c r="GX93" i="1" s="1"/>
  <c r="C94" i="1"/>
  <c r="D94" i="1"/>
  <c r="I94" i="1"/>
  <c r="K94" i="1"/>
  <c r="T94" i="1"/>
  <c r="V94" i="1"/>
  <c r="AC94" i="1"/>
  <c r="AD94" i="1"/>
  <c r="AE94" i="1"/>
  <c r="AF94" i="1"/>
  <c r="AG94" i="1"/>
  <c r="CU94" i="1" s="1"/>
  <c r="AH94" i="1"/>
  <c r="CV94" i="1" s="1"/>
  <c r="U94" i="1" s="1"/>
  <c r="AI94" i="1"/>
  <c r="AJ94" i="1"/>
  <c r="CQ94" i="1"/>
  <c r="P94" i="1" s="1"/>
  <c r="CR94" i="1"/>
  <c r="Q94" i="1" s="1"/>
  <c r="CS94" i="1"/>
  <c r="R94" i="1" s="1"/>
  <c r="CT94" i="1"/>
  <c r="S94" i="1" s="1"/>
  <c r="CW94" i="1"/>
  <c r="CX94" i="1"/>
  <c r="W94" i="1" s="1"/>
  <c r="FR94" i="1"/>
  <c r="GL94" i="1"/>
  <c r="GO94" i="1"/>
  <c r="GP94" i="1"/>
  <c r="GV94" i="1"/>
  <c r="HC94" i="1" s="1"/>
  <c r="GX94" i="1" s="1"/>
  <c r="I95" i="1"/>
  <c r="U95" i="1" s="1"/>
  <c r="AC95" i="1"/>
  <c r="CQ95" i="1" s="1"/>
  <c r="AE95" i="1"/>
  <c r="AD95" i="1" s="1"/>
  <c r="AB95" i="1" s="1"/>
  <c r="AF95" i="1"/>
  <c r="CT95" i="1" s="1"/>
  <c r="AG95" i="1"/>
  <c r="CU95" i="1" s="1"/>
  <c r="T95" i="1" s="1"/>
  <c r="AH95" i="1"/>
  <c r="AI95" i="1"/>
  <c r="AJ95" i="1"/>
  <c r="CR95" i="1"/>
  <c r="CS95" i="1"/>
  <c r="R95" i="1" s="1"/>
  <c r="AE205" i="1" s="1"/>
  <c r="AE78" i="1" s="1"/>
  <c r="CV95" i="1"/>
  <c r="CW95" i="1"/>
  <c r="V95" i="1" s="1"/>
  <c r="AI205" i="1" s="1"/>
  <c r="AI78" i="1" s="1"/>
  <c r="CX95" i="1"/>
  <c r="FR95" i="1"/>
  <c r="GL95" i="1"/>
  <c r="GO95" i="1"/>
  <c r="GP95" i="1"/>
  <c r="GV95" i="1"/>
  <c r="HC95" i="1"/>
  <c r="S96" i="1"/>
  <c r="U96" i="1"/>
  <c r="AC96" i="1"/>
  <c r="CQ96" i="1" s="1"/>
  <c r="P96" i="1" s="1"/>
  <c r="AE96" i="1"/>
  <c r="AD96" i="1" s="1"/>
  <c r="AB96" i="1" s="1"/>
  <c r="AF96" i="1"/>
  <c r="CT96" i="1" s="1"/>
  <c r="AG96" i="1"/>
  <c r="CU96" i="1" s="1"/>
  <c r="T96" i="1" s="1"/>
  <c r="AH96" i="1"/>
  <c r="AI96" i="1"/>
  <c r="AJ96" i="1"/>
  <c r="CR96" i="1"/>
  <c r="Q96" i="1" s="1"/>
  <c r="CP96" i="1" s="1"/>
  <c r="O96" i="1" s="1"/>
  <c r="GM96" i="1" s="1"/>
  <c r="GN96" i="1" s="1"/>
  <c r="CS96" i="1"/>
  <c r="R96" i="1" s="1"/>
  <c r="CV96" i="1"/>
  <c r="CW96" i="1"/>
  <c r="V96" i="1" s="1"/>
  <c r="CX96" i="1"/>
  <c r="W96" i="1" s="1"/>
  <c r="CY96" i="1"/>
  <c r="X96" i="1" s="1"/>
  <c r="CZ96" i="1"/>
  <c r="Y96" i="1" s="1"/>
  <c r="FR96" i="1"/>
  <c r="GL96" i="1"/>
  <c r="GO96" i="1"/>
  <c r="GP96" i="1"/>
  <c r="GV96" i="1"/>
  <c r="HC96" i="1"/>
  <c r="GX96" i="1" s="1"/>
  <c r="D98" i="1"/>
  <c r="E100" i="1"/>
  <c r="Z100" i="1"/>
  <c r="AA100" i="1"/>
  <c r="AM100" i="1"/>
  <c r="AN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C102" i="1"/>
  <c r="D102" i="1"/>
  <c r="I102" i="1"/>
  <c r="K102" i="1"/>
  <c r="Q102" i="1"/>
  <c r="R102" i="1"/>
  <c r="AC102" i="1"/>
  <c r="CQ102" i="1" s="1"/>
  <c r="P102" i="1" s="1"/>
  <c r="AD102" i="1"/>
  <c r="AE102" i="1"/>
  <c r="AF102" i="1"/>
  <c r="AG102" i="1"/>
  <c r="AH102" i="1"/>
  <c r="CV102" i="1" s="1"/>
  <c r="U102" i="1" s="1"/>
  <c r="AI102" i="1"/>
  <c r="AJ102" i="1"/>
  <c r="CX102" i="1" s="1"/>
  <c r="W102" i="1" s="1"/>
  <c r="CR102" i="1"/>
  <c r="CS102" i="1"/>
  <c r="CT102" i="1"/>
  <c r="S102" i="1" s="1"/>
  <c r="CU102" i="1"/>
  <c r="T102" i="1" s="1"/>
  <c r="CW102" i="1"/>
  <c r="V102" i="1" s="1"/>
  <c r="FR102" i="1"/>
  <c r="GL102" i="1"/>
  <c r="GO102" i="1"/>
  <c r="GP102" i="1"/>
  <c r="GV102" i="1"/>
  <c r="HC102" i="1"/>
  <c r="GX102" i="1" s="1"/>
  <c r="I103" i="1"/>
  <c r="Q103" i="1"/>
  <c r="R103" i="1"/>
  <c r="W103" i="1"/>
  <c r="AC103" i="1"/>
  <c r="CQ103" i="1" s="1"/>
  <c r="P103" i="1" s="1"/>
  <c r="AE103" i="1"/>
  <c r="AD103" i="1" s="1"/>
  <c r="AF103" i="1"/>
  <c r="CT103" i="1" s="1"/>
  <c r="S103" i="1" s="1"/>
  <c r="AG103" i="1"/>
  <c r="CU103" i="1" s="1"/>
  <c r="T103" i="1" s="1"/>
  <c r="AH103" i="1"/>
  <c r="AI103" i="1"/>
  <c r="AJ103" i="1"/>
  <c r="CX103" i="1" s="1"/>
  <c r="CR103" i="1"/>
  <c r="CS103" i="1"/>
  <c r="CV103" i="1"/>
  <c r="U103" i="1" s="1"/>
  <c r="CW103" i="1"/>
  <c r="V103" i="1" s="1"/>
  <c r="FR103" i="1"/>
  <c r="GL103" i="1"/>
  <c r="GO103" i="1"/>
  <c r="GP103" i="1"/>
  <c r="GV103" i="1"/>
  <c r="HC103" i="1"/>
  <c r="GX103" i="1" s="1"/>
  <c r="I104" i="1"/>
  <c r="W104" i="1" s="1"/>
  <c r="AC104" i="1"/>
  <c r="AE104" i="1"/>
  <c r="AD104" i="1" s="1"/>
  <c r="AF104" i="1"/>
  <c r="CT104" i="1" s="1"/>
  <c r="AG104" i="1"/>
  <c r="AH104" i="1"/>
  <c r="AI104" i="1"/>
  <c r="CW104" i="1" s="1"/>
  <c r="V104" i="1" s="1"/>
  <c r="AJ104" i="1"/>
  <c r="CQ104" i="1"/>
  <c r="CR104" i="1"/>
  <c r="Q104" i="1" s="1"/>
  <c r="CS104" i="1"/>
  <c r="R104" i="1" s="1"/>
  <c r="CU104" i="1"/>
  <c r="CV104" i="1"/>
  <c r="U104" i="1" s="1"/>
  <c r="CX104" i="1"/>
  <c r="FR104" i="1"/>
  <c r="GL104" i="1"/>
  <c r="GO104" i="1"/>
  <c r="GP104" i="1"/>
  <c r="GV104" i="1"/>
  <c r="HC104" i="1"/>
  <c r="P105" i="1"/>
  <c r="W105" i="1"/>
  <c r="X105" i="1"/>
  <c r="AC105" i="1"/>
  <c r="AE105" i="1"/>
  <c r="AD105" i="1" s="1"/>
  <c r="AF105" i="1"/>
  <c r="CT105" i="1" s="1"/>
  <c r="S105" i="1" s="1"/>
  <c r="AG105" i="1"/>
  <c r="AH105" i="1"/>
  <c r="AI105" i="1"/>
  <c r="CW105" i="1" s="1"/>
  <c r="V105" i="1" s="1"/>
  <c r="AJ105" i="1"/>
  <c r="CQ105" i="1"/>
  <c r="CS105" i="1"/>
  <c r="R105" i="1" s="1"/>
  <c r="CU105" i="1"/>
  <c r="T105" i="1" s="1"/>
  <c r="CV105" i="1"/>
  <c r="U105" i="1" s="1"/>
  <c r="CX105" i="1"/>
  <c r="CY105" i="1"/>
  <c r="CZ105" i="1"/>
  <c r="Y105" i="1" s="1"/>
  <c r="FR105" i="1"/>
  <c r="GL105" i="1"/>
  <c r="GO105" i="1"/>
  <c r="GP105" i="1"/>
  <c r="GV105" i="1"/>
  <c r="GX105" i="1"/>
  <c r="HC105" i="1"/>
  <c r="P106" i="1"/>
  <c r="V106" i="1"/>
  <c r="W106" i="1"/>
  <c r="X106" i="1"/>
  <c r="AC106" i="1"/>
  <c r="AB106" i="1" s="1"/>
  <c r="AE106" i="1"/>
  <c r="AD106" i="1" s="1"/>
  <c r="AF106" i="1"/>
  <c r="CT106" i="1" s="1"/>
  <c r="S106" i="1" s="1"/>
  <c r="AG106" i="1"/>
  <c r="AH106" i="1"/>
  <c r="AI106" i="1"/>
  <c r="CW106" i="1" s="1"/>
  <c r="AJ106" i="1"/>
  <c r="CQ106" i="1"/>
  <c r="CR106" i="1"/>
  <c r="Q106" i="1" s="1"/>
  <c r="CS106" i="1"/>
  <c r="R106" i="1" s="1"/>
  <c r="CU106" i="1"/>
  <c r="T106" i="1" s="1"/>
  <c r="CV106" i="1"/>
  <c r="U106" i="1" s="1"/>
  <c r="CX106" i="1"/>
  <c r="CY106" i="1"/>
  <c r="CZ106" i="1"/>
  <c r="Y106" i="1" s="1"/>
  <c r="FR106" i="1"/>
  <c r="GL106" i="1"/>
  <c r="GO106" i="1"/>
  <c r="GP106" i="1"/>
  <c r="GV106" i="1"/>
  <c r="GX106" i="1"/>
  <c r="HC106" i="1"/>
  <c r="C107" i="1"/>
  <c r="D107" i="1"/>
  <c r="U107" i="1"/>
  <c r="V107" i="1"/>
  <c r="AC107" i="1"/>
  <c r="AD107" i="1"/>
  <c r="AE107" i="1"/>
  <c r="AF107" i="1"/>
  <c r="CT107" i="1" s="1"/>
  <c r="S107" i="1" s="1"/>
  <c r="AG107" i="1"/>
  <c r="CU107" i="1" s="1"/>
  <c r="T107" i="1" s="1"/>
  <c r="AH107" i="1"/>
  <c r="AI107" i="1"/>
  <c r="AJ107" i="1"/>
  <c r="CR107" i="1"/>
  <c r="Q107" i="1" s="1"/>
  <c r="CS107" i="1"/>
  <c r="R107" i="1" s="1"/>
  <c r="CV107" i="1"/>
  <c r="CW107" i="1"/>
  <c r="CX107" i="1"/>
  <c r="W107" i="1" s="1"/>
  <c r="FR107" i="1"/>
  <c r="GL107" i="1"/>
  <c r="BZ117" i="1" s="1"/>
  <c r="GN107" i="1"/>
  <c r="GP107" i="1"/>
  <c r="GV107" i="1"/>
  <c r="HC107" i="1" s="1"/>
  <c r="GX107" i="1" s="1"/>
  <c r="I108" i="1"/>
  <c r="T108" i="1"/>
  <c r="AC108" i="1"/>
  <c r="CQ108" i="1" s="1"/>
  <c r="P108" i="1" s="1"/>
  <c r="AE108" i="1"/>
  <c r="AD108" i="1" s="1"/>
  <c r="AF108" i="1"/>
  <c r="CT108" i="1" s="1"/>
  <c r="S108" i="1" s="1"/>
  <c r="AG108" i="1"/>
  <c r="AH108" i="1"/>
  <c r="AI108" i="1"/>
  <c r="AJ108" i="1"/>
  <c r="CR108" i="1"/>
  <c r="Q108" i="1" s="1"/>
  <c r="CS108" i="1"/>
  <c r="R108" i="1" s="1"/>
  <c r="CU108" i="1"/>
  <c r="CV108" i="1"/>
  <c r="U108" i="1" s="1"/>
  <c r="CW108" i="1"/>
  <c r="V108" i="1" s="1"/>
  <c r="CX108" i="1"/>
  <c r="W108" i="1" s="1"/>
  <c r="FR108" i="1"/>
  <c r="GL108" i="1"/>
  <c r="GN108" i="1"/>
  <c r="GP108" i="1"/>
  <c r="GV108" i="1"/>
  <c r="HC108" i="1" s="1"/>
  <c r="GX108" i="1" s="1"/>
  <c r="Q109" i="1"/>
  <c r="T109" i="1"/>
  <c r="U109" i="1"/>
  <c r="X109" i="1"/>
  <c r="AC109" i="1"/>
  <c r="CQ109" i="1" s="1"/>
  <c r="P109" i="1" s="1"/>
  <c r="AE109" i="1"/>
  <c r="AD109" i="1" s="1"/>
  <c r="AB109" i="1" s="1"/>
  <c r="AF109" i="1"/>
  <c r="CT109" i="1" s="1"/>
  <c r="S109" i="1" s="1"/>
  <c r="AG109" i="1"/>
  <c r="AH109" i="1"/>
  <c r="AI109" i="1"/>
  <c r="AJ109" i="1"/>
  <c r="CX109" i="1" s="1"/>
  <c r="W109" i="1" s="1"/>
  <c r="CR109" i="1"/>
  <c r="CU109" i="1"/>
  <c r="CV109" i="1"/>
  <c r="CW109" i="1"/>
  <c r="V109" i="1" s="1"/>
  <c r="CY109" i="1"/>
  <c r="CZ109" i="1"/>
  <c r="Y109" i="1" s="1"/>
  <c r="FR109" i="1"/>
  <c r="GL109" i="1"/>
  <c r="GO109" i="1"/>
  <c r="GP109" i="1"/>
  <c r="CD117" i="1" s="1"/>
  <c r="GV109" i="1"/>
  <c r="GX109" i="1"/>
  <c r="HC109" i="1"/>
  <c r="U110" i="1"/>
  <c r="X110" i="1"/>
  <c r="AC110" i="1"/>
  <c r="CQ110" i="1" s="1"/>
  <c r="P110" i="1" s="1"/>
  <c r="AE110" i="1"/>
  <c r="AD110" i="1" s="1"/>
  <c r="AB110" i="1" s="1"/>
  <c r="AF110" i="1"/>
  <c r="CT110" i="1" s="1"/>
  <c r="S110" i="1" s="1"/>
  <c r="AG110" i="1"/>
  <c r="CU110" i="1" s="1"/>
  <c r="T110" i="1" s="1"/>
  <c r="AH110" i="1"/>
  <c r="AI110" i="1"/>
  <c r="AJ110" i="1"/>
  <c r="CX110" i="1" s="1"/>
  <c r="W110" i="1" s="1"/>
  <c r="CR110" i="1"/>
  <c r="Q110" i="1" s="1"/>
  <c r="CV110" i="1"/>
  <c r="CW110" i="1"/>
  <c r="V110" i="1" s="1"/>
  <c r="CY110" i="1"/>
  <c r="CZ110" i="1"/>
  <c r="Y110" i="1" s="1"/>
  <c r="FR110" i="1"/>
  <c r="GL110" i="1"/>
  <c r="GO110" i="1"/>
  <c r="GP110" i="1"/>
  <c r="GV110" i="1"/>
  <c r="GX110" i="1"/>
  <c r="HC110" i="1"/>
  <c r="S111" i="1"/>
  <c r="U111" i="1"/>
  <c r="X111" i="1"/>
  <c r="AC111" i="1"/>
  <c r="CQ111" i="1" s="1"/>
  <c r="P111" i="1" s="1"/>
  <c r="CP111" i="1" s="1"/>
  <c r="O111" i="1" s="1"/>
  <c r="GM111" i="1" s="1"/>
  <c r="GN111" i="1" s="1"/>
  <c r="AE111" i="1"/>
  <c r="AD111" i="1" s="1"/>
  <c r="AB111" i="1" s="1"/>
  <c r="AF111" i="1"/>
  <c r="AG111" i="1"/>
  <c r="CU111" i="1" s="1"/>
  <c r="T111" i="1" s="1"/>
  <c r="AH111" i="1"/>
  <c r="AI111" i="1"/>
  <c r="AJ111" i="1"/>
  <c r="CX111" i="1" s="1"/>
  <c r="W111" i="1" s="1"/>
  <c r="CR111" i="1"/>
  <c r="Q111" i="1" s="1"/>
  <c r="CT111" i="1"/>
  <c r="CV111" i="1"/>
  <c r="CW111" i="1"/>
  <c r="V111" i="1" s="1"/>
  <c r="CY111" i="1"/>
  <c r="CZ111" i="1"/>
  <c r="Y111" i="1" s="1"/>
  <c r="FR111" i="1"/>
  <c r="GL111" i="1"/>
  <c r="GO111" i="1"/>
  <c r="GP111" i="1"/>
  <c r="GV111" i="1"/>
  <c r="GX111" i="1"/>
  <c r="HC111" i="1"/>
  <c r="S112" i="1"/>
  <c r="U112" i="1"/>
  <c r="X112" i="1"/>
  <c r="AC112" i="1"/>
  <c r="CQ112" i="1" s="1"/>
  <c r="P112" i="1" s="1"/>
  <c r="AE112" i="1"/>
  <c r="AD112" i="1" s="1"/>
  <c r="AB112" i="1" s="1"/>
  <c r="AF112" i="1"/>
  <c r="AG112" i="1"/>
  <c r="CU112" i="1" s="1"/>
  <c r="T112" i="1" s="1"/>
  <c r="AH112" i="1"/>
  <c r="AI112" i="1"/>
  <c r="AJ112" i="1"/>
  <c r="CX112" i="1" s="1"/>
  <c r="W112" i="1" s="1"/>
  <c r="CR112" i="1"/>
  <c r="Q112" i="1" s="1"/>
  <c r="CT112" i="1"/>
  <c r="CV112" i="1"/>
  <c r="CW112" i="1"/>
  <c r="V112" i="1" s="1"/>
  <c r="CY112" i="1"/>
  <c r="CZ112" i="1"/>
  <c r="Y112" i="1" s="1"/>
  <c r="FR112" i="1"/>
  <c r="GL112" i="1"/>
  <c r="GO112" i="1"/>
  <c r="GP112" i="1"/>
  <c r="GV112" i="1"/>
  <c r="GX112" i="1"/>
  <c r="HC112" i="1"/>
  <c r="C113" i="1"/>
  <c r="D113" i="1"/>
  <c r="S113" i="1"/>
  <c r="AC113" i="1"/>
  <c r="AE113" i="1"/>
  <c r="CS113" i="1" s="1"/>
  <c r="R113" i="1" s="1"/>
  <c r="CZ113" i="1" s="1"/>
  <c r="Y113" i="1" s="1"/>
  <c r="AF113" i="1"/>
  <c r="AG113" i="1"/>
  <c r="AH113" i="1"/>
  <c r="CV113" i="1" s="1"/>
  <c r="U113" i="1" s="1"/>
  <c r="AI113" i="1"/>
  <c r="CW113" i="1" s="1"/>
  <c r="V113" i="1" s="1"/>
  <c r="AJ113" i="1"/>
  <c r="CR113" i="1"/>
  <c r="Q113" i="1" s="1"/>
  <c r="CT113" i="1"/>
  <c r="CU113" i="1"/>
  <c r="T113" i="1" s="1"/>
  <c r="CX113" i="1"/>
  <c r="W113" i="1" s="1"/>
  <c r="FR113" i="1"/>
  <c r="GL113" i="1"/>
  <c r="GO113" i="1"/>
  <c r="GP113" i="1"/>
  <c r="GV113" i="1"/>
  <c r="HC113" i="1" s="1"/>
  <c r="GX113" i="1" s="1"/>
  <c r="I114" i="1"/>
  <c r="R114" i="1"/>
  <c r="AC114" i="1"/>
  <c r="AD114" i="1"/>
  <c r="AB114" i="1" s="1"/>
  <c r="AE114" i="1"/>
  <c r="AF114" i="1"/>
  <c r="AG114" i="1"/>
  <c r="CU114" i="1" s="1"/>
  <c r="T114" i="1" s="1"/>
  <c r="AH114" i="1"/>
  <c r="CV114" i="1" s="1"/>
  <c r="U114" i="1" s="1"/>
  <c r="AI114" i="1"/>
  <c r="AJ114" i="1"/>
  <c r="CX114" i="1" s="1"/>
  <c r="W114" i="1" s="1"/>
  <c r="CQ114" i="1"/>
  <c r="P114" i="1" s="1"/>
  <c r="CP114" i="1" s="1"/>
  <c r="O114" i="1" s="1"/>
  <c r="CR114" i="1"/>
  <c r="Q114" i="1" s="1"/>
  <c r="CS114" i="1"/>
  <c r="CT114" i="1"/>
  <c r="S114" i="1" s="1"/>
  <c r="CW114" i="1"/>
  <c r="V114" i="1" s="1"/>
  <c r="FR114" i="1"/>
  <c r="GL114" i="1"/>
  <c r="GO114" i="1"/>
  <c r="GP114" i="1"/>
  <c r="GV114" i="1"/>
  <c r="HC114" i="1" s="1"/>
  <c r="GX114" i="1" s="1"/>
  <c r="I115" i="1"/>
  <c r="Q115" i="1" s="1"/>
  <c r="AC115" i="1"/>
  <c r="CQ115" i="1" s="1"/>
  <c r="P115" i="1" s="1"/>
  <c r="AE115" i="1"/>
  <c r="AD115" i="1" s="1"/>
  <c r="AF115" i="1"/>
  <c r="CT115" i="1" s="1"/>
  <c r="S115" i="1" s="1"/>
  <c r="AG115" i="1"/>
  <c r="CU115" i="1" s="1"/>
  <c r="T115" i="1" s="1"/>
  <c r="AH115" i="1"/>
  <c r="AI115" i="1"/>
  <c r="CW115" i="1" s="1"/>
  <c r="V115" i="1" s="1"/>
  <c r="AJ115" i="1"/>
  <c r="CR115" i="1"/>
  <c r="CS115" i="1"/>
  <c r="R115" i="1" s="1"/>
  <c r="CV115" i="1"/>
  <c r="U115" i="1" s="1"/>
  <c r="CX115" i="1"/>
  <c r="W115" i="1" s="1"/>
  <c r="FR115" i="1"/>
  <c r="GL115" i="1"/>
  <c r="GO115" i="1"/>
  <c r="GP115" i="1"/>
  <c r="GV115" i="1"/>
  <c r="HC115" i="1"/>
  <c r="GX115" i="1" s="1"/>
  <c r="B117" i="1"/>
  <c r="B100" i="1" s="1"/>
  <c r="C117" i="1"/>
  <c r="C100" i="1" s="1"/>
  <c r="D117" i="1"/>
  <c r="D100" i="1" s="1"/>
  <c r="F117" i="1"/>
  <c r="F100" i="1" s="1"/>
  <c r="G117" i="1"/>
  <c r="G100" i="1" s="1"/>
  <c r="BX117" i="1"/>
  <c r="BX100" i="1" s="1"/>
  <c r="BY117" i="1"/>
  <c r="BY100" i="1" s="1"/>
  <c r="CK117" i="1"/>
  <c r="CK100" i="1" s="1"/>
  <c r="CL117" i="1"/>
  <c r="CL100" i="1" s="1"/>
  <c r="CM117" i="1"/>
  <c r="CM100" i="1" s="1"/>
  <c r="D155" i="1"/>
  <c r="E157" i="1"/>
  <c r="F157" i="1"/>
  <c r="Z157" i="1"/>
  <c r="AA157" i="1"/>
  <c r="AM157" i="1"/>
  <c r="AN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C159" i="1"/>
  <c r="D159" i="1"/>
  <c r="I159" i="1"/>
  <c r="I160" i="1" s="1"/>
  <c r="K159" i="1"/>
  <c r="P159" i="1"/>
  <c r="CP159" i="1" s="1"/>
  <c r="O159" i="1" s="1"/>
  <c r="V159" i="1"/>
  <c r="AC159" i="1"/>
  <c r="AE159" i="1"/>
  <c r="AD159" i="1" s="1"/>
  <c r="AB159" i="1" s="1"/>
  <c r="AF159" i="1"/>
  <c r="CT159" i="1" s="1"/>
  <c r="S159" i="1" s="1"/>
  <c r="AG159" i="1"/>
  <c r="AH159" i="1"/>
  <c r="CV159" i="1" s="1"/>
  <c r="U159" i="1" s="1"/>
  <c r="AI159" i="1"/>
  <c r="AJ159" i="1"/>
  <c r="CX159" i="1" s="1"/>
  <c r="W159" i="1" s="1"/>
  <c r="CQ159" i="1"/>
  <c r="CR159" i="1"/>
  <c r="Q159" i="1" s="1"/>
  <c r="CS159" i="1"/>
  <c r="R159" i="1" s="1"/>
  <c r="CU159" i="1"/>
  <c r="T159" i="1" s="1"/>
  <c r="CW159" i="1"/>
  <c r="FR159" i="1"/>
  <c r="GL159" i="1"/>
  <c r="GO159" i="1"/>
  <c r="GP159" i="1"/>
  <c r="GV159" i="1"/>
  <c r="HC159" i="1"/>
  <c r="GX159" i="1" s="1"/>
  <c r="AC160" i="1"/>
  <c r="AB160" i="1" s="1"/>
  <c r="AE160" i="1"/>
  <c r="AD160" i="1" s="1"/>
  <c r="AF160" i="1"/>
  <c r="AG160" i="1"/>
  <c r="CU160" i="1" s="1"/>
  <c r="T160" i="1" s="1"/>
  <c r="AH160" i="1"/>
  <c r="AI160" i="1"/>
  <c r="CW160" i="1" s="1"/>
  <c r="V160" i="1" s="1"/>
  <c r="AJ160" i="1"/>
  <c r="CQ160" i="1"/>
  <c r="P160" i="1" s="1"/>
  <c r="CR160" i="1"/>
  <c r="Q160" i="1" s="1"/>
  <c r="CT160" i="1"/>
  <c r="S160" i="1" s="1"/>
  <c r="CV160" i="1"/>
  <c r="CX160" i="1"/>
  <c r="FR160" i="1"/>
  <c r="GL160" i="1"/>
  <c r="GO160" i="1"/>
  <c r="GP160" i="1"/>
  <c r="GV160" i="1"/>
  <c r="HC160" i="1" s="1"/>
  <c r="GX160" i="1" s="1"/>
  <c r="U161" i="1"/>
  <c r="W161" i="1"/>
  <c r="AC161" i="1"/>
  <c r="AE161" i="1"/>
  <c r="AD161" i="1" s="1"/>
  <c r="AF161" i="1"/>
  <c r="AG161" i="1"/>
  <c r="CU161" i="1" s="1"/>
  <c r="T161" i="1" s="1"/>
  <c r="AH161" i="1"/>
  <c r="AI161" i="1"/>
  <c r="CW161" i="1" s="1"/>
  <c r="V161" i="1" s="1"/>
  <c r="AJ161" i="1"/>
  <c r="CQ161" i="1"/>
  <c r="P161" i="1" s="1"/>
  <c r="CR161" i="1"/>
  <c r="Q161" i="1" s="1"/>
  <c r="CT161" i="1"/>
  <c r="S161" i="1" s="1"/>
  <c r="CV161" i="1"/>
  <c r="CX161" i="1"/>
  <c r="CY161" i="1"/>
  <c r="X161" i="1" s="1"/>
  <c r="CZ161" i="1"/>
  <c r="Y161" i="1" s="1"/>
  <c r="FR161" i="1"/>
  <c r="GL161" i="1"/>
  <c r="GO161" i="1"/>
  <c r="GP161" i="1"/>
  <c r="GV161" i="1"/>
  <c r="HC161" i="1" s="1"/>
  <c r="GX161" i="1" s="1"/>
  <c r="U162" i="1"/>
  <c r="W162" i="1"/>
  <c r="AC162" i="1"/>
  <c r="AB162" i="1" s="1"/>
  <c r="AE162" i="1"/>
  <c r="AD162" i="1" s="1"/>
  <c r="AF162" i="1"/>
  <c r="AG162" i="1"/>
  <c r="CU162" i="1" s="1"/>
  <c r="T162" i="1" s="1"/>
  <c r="AH162" i="1"/>
  <c r="AI162" i="1"/>
  <c r="CW162" i="1" s="1"/>
  <c r="V162" i="1" s="1"/>
  <c r="AJ162" i="1"/>
  <c r="CQ162" i="1"/>
  <c r="P162" i="1" s="1"/>
  <c r="CP162" i="1" s="1"/>
  <c r="O162" i="1" s="1"/>
  <c r="CR162" i="1"/>
  <c r="Q162" i="1" s="1"/>
  <c r="CT162" i="1"/>
  <c r="S162" i="1" s="1"/>
  <c r="CV162" i="1"/>
  <c r="CX162" i="1"/>
  <c r="CY162" i="1"/>
  <c r="X162" i="1" s="1"/>
  <c r="CZ162" i="1"/>
  <c r="Y162" i="1" s="1"/>
  <c r="FR162" i="1"/>
  <c r="GL162" i="1"/>
  <c r="GO162" i="1"/>
  <c r="GP162" i="1"/>
  <c r="GV162" i="1"/>
  <c r="HC162" i="1" s="1"/>
  <c r="GX162" i="1" s="1"/>
  <c r="U163" i="1"/>
  <c r="W163" i="1"/>
  <c r="AC163" i="1"/>
  <c r="AB163" i="1" s="1"/>
  <c r="AE163" i="1"/>
  <c r="AD163" i="1" s="1"/>
  <c r="AF163" i="1"/>
  <c r="AG163" i="1"/>
  <c r="CU163" i="1" s="1"/>
  <c r="T163" i="1" s="1"/>
  <c r="AH163" i="1"/>
  <c r="AI163" i="1"/>
  <c r="CW163" i="1" s="1"/>
  <c r="V163" i="1" s="1"/>
  <c r="AJ163" i="1"/>
  <c r="CQ163" i="1"/>
  <c r="P163" i="1" s="1"/>
  <c r="CP163" i="1" s="1"/>
  <c r="O163" i="1" s="1"/>
  <c r="GM163" i="1" s="1"/>
  <c r="GO163" i="1" s="1"/>
  <c r="CC167" i="1" s="1"/>
  <c r="CR163" i="1"/>
  <c r="Q163" i="1" s="1"/>
  <c r="CT163" i="1"/>
  <c r="S163" i="1" s="1"/>
  <c r="CV163" i="1"/>
  <c r="CX163" i="1"/>
  <c r="CY163" i="1"/>
  <c r="X163" i="1" s="1"/>
  <c r="CZ163" i="1"/>
  <c r="Y163" i="1" s="1"/>
  <c r="FR163" i="1"/>
  <c r="GL163" i="1"/>
  <c r="GN163" i="1"/>
  <c r="GP163" i="1"/>
  <c r="GV163" i="1"/>
  <c r="HC163" i="1" s="1"/>
  <c r="GX163" i="1" s="1"/>
  <c r="U164" i="1"/>
  <c r="W164" i="1"/>
  <c r="AC164" i="1"/>
  <c r="AB164" i="1" s="1"/>
  <c r="AE164" i="1"/>
  <c r="AD164" i="1" s="1"/>
  <c r="AF164" i="1"/>
  <c r="AG164" i="1"/>
  <c r="CU164" i="1" s="1"/>
  <c r="T164" i="1" s="1"/>
  <c r="AH164" i="1"/>
  <c r="AI164" i="1"/>
  <c r="CW164" i="1" s="1"/>
  <c r="V164" i="1" s="1"/>
  <c r="AJ164" i="1"/>
  <c r="CQ164" i="1"/>
  <c r="P164" i="1" s="1"/>
  <c r="CR164" i="1"/>
  <c r="Q164" i="1" s="1"/>
  <c r="CT164" i="1"/>
  <c r="S164" i="1" s="1"/>
  <c r="CV164" i="1"/>
  <c r="CX164" i="1"/>
  <c r="CY164" i="1"/>
  <c r="X164" i="1" s="1"/>
  <c r="CZ164" i="1"/>
  <c r="Y164" i="1" s="1"/>
  <c r="FR164" i="1"/>
  <c r="GL164" i="1"/>
  <c r="GO164" i="1"/>
  <c r="GP164" i="1"/>
  <c r="GV164" i="1"/>
  <c r="HC164" i="1" s="1"/>
  <c r="GX164" i="1" s="1"/>
  <c r="U165" i="1"/>
  <c r="W165" i="1"/>
  <c r="AC165" i="1"/>
  <c r="AB165" i="1" s="1"/>
  <c r="AE165" i="1"/>
  <c r="AD165" i="1" s="1"/>
  <c r="AF165" i="1"/>
  <c r="AG165" i="1"/>
  <c r="CU165" i="1" s="1"/>
  <c r="T165" i="1" s="1"/>
  <c r="AH165" i="1"/>
  <c r="AI165" i="1"/>
  <c r="CW165" i="1" s="1"/>
  <c r="V165" i="1" s="1"/>
  <c r="AJ165" i="1"/>
  <c r="CQ165" i="1"/>
  <c r="P165" i="1" s="1"/>
  <c r="CR165" i="1"/>
  <c r="Q165" i="1" s="1"/>
  <c r="CT165" i="1"/>
  <c r="S165" i="1" s="1"/>
  <c r="CV165" i="1"/>
  <c r="CX165" i="1"/>
  <c r="CY165" i="1"/>
  <c r="X165" i="1" s="1"/>
  <c r="CZ165" i="1"/>
  <c r="Y165" i="1" s="1"/>
  <c r="FR165" i="1"/>
  <c r="GL165" i="1"/>
  <c r="BZ167" i="1" s="1"/>
  <c r="GO165" i="1"/>
  <c r="GP165" i="1"/>
  <c r="GV165" i="1"/>
  <c r="HC165" i="1" s="1"/>
  <c r="GX165" i="1" s="1"/>
  <c r="B167" i="1"/>
  <c r="B157" i="1" s="1"/>
  <c r="C167" i="1"/>
  <c r="C157" i="1" s="1"/>
  <c r="D167" i="1"/>
  <c r="D157" i="1" s="1"/>
  <c r="F167" i="1"/>
  <c r="G167" i="1"/>
  <c r="G157" i="1" s="1"/>
  <c r="BX167" i="1"/>
  <c r="AO167" i="1" s="1"/>
  <c r="BY167" i="1"/>
  <c r="AP167" i="1" s="1"/>
  <c r="CD167" i="1"/>
  <c r="CD157" i="1" s="1"/>
  <c r="CK167" i="1"/>
  <c r="CK157" i="1" s="1"/>
  <c r="CL167" i="1"/>
  <c r="CL157" i="1" s="1"/>
  <c r="CM167" i="1"/>
  <c r="CM157" i="1" s="1"/>
  <c r="B205" i="1"/>
  <c r="B78" i="1" s="1"/>
  <c r="C205" i="1"/>
  <c r="C78" i="1" s="1"/>
  <c r="D205" i="1"/>
  <c r="D78" i="1" s="1"/>
  <c r="F205" i="1"/>
  <c r="F78" i="1" s="1"/>
  <c r="G205" i="1"/>
  <c r="G78" i="1" s="1"/>
  <c r="AG205" i="1"/>
  <c r="AG78" i="1" s="1"/>
  <c r="AH205" i="1"/>
  <c r="AH78" i="1" s="1"/>
  <c r="BX205" i="1"/>
  <c r="BX78" i="1" s="1"/>
  <c r="BY205" i="1"/>
  <c r="BY78" i="1" s="1"/>
  <c r="BZ205" i="1"/>
  <c r="BZ78" i="1" s="1"/>
  <c r="CC205" i="1"/>
  <c r="CC78" i="1" s="1"/>
  <c r="CD205" i="1"/>
  <c r="CD78" i="1" s="1"/>
  <c r="CG205" i="1"/>
  <c r="CG78" i="1" s="1"/>
  <c r="CK205" i="1"/>
  <c r="CK78" i="1" s="1"/>
  <c r="CL205" i="1"/>
  <c r="CL78" i="1" s="1"/>
  <c r="CM205" i="1"/>
  <c r="CM78" i="1" s="1"/>
  <c r="D243" i="1"/>
  <c r="E245" i="1"/>
  <c r="Z245" i="1"/>
  <c r="AA245" i="1"/>
  <c r="AM245" i="1"/>
  <c r="AN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DE245" i="1"/>
  <c r="DF245" i="1"/>
  <c r="DG245" i="1"/>
  <c r="DH245" i="1"/>
  <c r="DI245" i="1"/>
  <c r="DJ245" i="1"/>
  <c r="DK245" i="1"/>
  <c r="DL245" i="1"/>
  <c r="DM245" i="1"/>
  <c r="DN245" i="1"/>
  <c r="DO245" i="1"/>
  <c r="DP245" i="1"/>
  <c r="DQ245" i="1"/>
  <c r="DR245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K245" i="1"/>
  <c r="EL245" i="1"/>
  <c r="EM245" i="1"/>
  <c r="EN245" i="1"/>
  <c r="EO245" i="1"/>
  <c r="EP245" i="1"/>
  <c r="EQ245" i="1"/>
  <c r="ER245" i="1"/>
  <c r="ES245" i="1"/>
  <c r="ET245" i="1"/>
  <c r="EU245" i="1"/>
  <c r="EV245" i="1"/>
  <c r="EW245" i="1"/>
  <c r="EX245" i="1"/>
  <c r="EY245" i="1"/>
  <c r="EZ245" i="1"/>
  <c r="FA245" i="1"/>
  <c r="FB245" i="1"/>
  <c r="FC245" i="1"/>
  <c r="FD245" i="1"/>
  <c r="FE245" i="1"/>
  <c r="FF245" i="1"/>
  <c r="FG245" i="1"/>
  <c r="FH245" i="1"/>
  <c r="FI245" i="1"/>
  <c r="FJ245" i="1"/>
  <c r="FK245" i="1"/>
  <c r="FL245" i="1"/>
  <c r="FM245" i="1"/>
  <c r="FN245" i="1"/>
  <c r="FO245" i="1"/>
  <c r="FP245" i="1"/>
  <c r="FQ245" i="1"/>
  <c r="FR245" i="1"/>
  <c r="FS245" i="1"/>
  <c r="FT245" i="1"/>
  <c r="FU245" i="1"/>
  <c r="FV245" i="1"/>
  <c r="FW245" i="1"/>
  <c r="FX245" i="1"/>
  <c r="FY245" i="1"/>
  <c r="FZ245" i="1"/>
  <c r="GA245" i="1"/>
  <c r="GB245" i="1"/>
  <c r="GC245" i="1"/>
  <c r="GD245" i="1"/>
  <c r="GE245" i="1"/>
  <c r="GF245" i="1"/>
  <c r="GG245" i="1"/>
  <c r="GH245" i="1"/>
  <c r="GI245" i="1"/>
  <c r="GJ245" i="1"/>
  <c r="GK245" i="1"/>
  <c r="GL245" i="1"/>
  <c r="GM245" i="1"/>
  <c r="GN245" i="1"/>
  <c r="GO245" i="1"/>
  <c r="GP245" i="1"/>
  <c r="GQ245" i="1"/>
  <c r="GR245" i="1"/>
  <c r="GS245" i="1"/>
  <c r="GT245" i="1"/>
  <c r="GU245" i="1"/>
  <c r="GV245" i="1"/>
  <c r="GW245" i="1"/>
  <c r="GX245" i="1"/>
  <c r="C247" i="1"/>
  <c r="D247" i="1"/>
  <c r="I247" i="1"/>
  <c r="CU137" i="3" s="1"/>
  <c r="K247" i="1"/>
  <c r="P247" i="1"/>
  <c r="V247" i="1"/>
  <c r="AC247" i="1"/>
  <c r="AE247" i="1"/>
  <c r="AD247" i="1" s="1"/>
  <c r="AF247" i="1"/>
  <c r="CT247" i="1" s="1"/>
  <c r="S247" i="1" s="1"/>
  <c r="AG247" i="1"/>
  <c r="AH247" i="1"/>
  <c r="CV247" i="1" s="1"/>
  <c r="U247" i="1" s="1"/>
  <c r="AI247" i="1"/>
  <c r="AJ247" i="1"/>
  <c r="CX247" i="1" s="1"/>
  <c r="W247" i="1" s="1"/>
  <c r="CQ247" i="1"/>
  <c r="CR247" i="1"/>
  <c r="Q247" i="1" s="1"/>
  <c r="CS247" i="1"/>
  <c r="R247" i="1" s="1"/>
  <c r="CU247" i="1"/>
  <c r="T247" i="1" s="1"/>
  <c r="CW247" i="1"/>
  <c r="FR247" i="1"/>
  <c r="GL247" i="1"/>
  <c r="GO247" i="1"/>
  <c r="GP247" i="1"/>
  <c r="GV247" i="1"/>
  <c r="HC247" i="1"/>
  <c r="GX247" i="1" s="1"/>
  <c r="C248" i="1"/>
  <c r="D248" i="1"/>
  <c r="I248" i="1"/>
  <c r="K248" i="1"/>
  <c r="Q248" i="1"/>
  <c r="R248" i="1"/>
  <c r="T248" i="1"/>
  <c r="AB248" i="1"/>
  <c r="AC248" i="1"/>
  <c r="AD248" i="1"/>
  <c r="AE248" i="1"/>
  <c r="AF248" i="1"/>
  <c r="CT248" i="1" s="1"/>
  <c r="S248" i="1" s="1"/>
  <c r="CZ248" i="1" s="1"/>
  <c r="Y248" i="1" s="1"/>
  <c r="AG248" i="1"/>
  <c r="AH248" i="1"/>
  <c r="AI248" i="1"/>
  <c r="CW248" i="1" s="1"/>
  <c r="V248" i="1" s="1"/>
  <c r="AJ248" i="1"/>
  <c r="CX248" i="1" s="1"/>
  <c r="W248" i="1" s="1"/>
  <c r="CQ248" i="1"/>
  <c r="P248" i="1" s="1"/>
  <c r="CP248" i="1" s="1"/>
  <c r="O248" i="1" s="1"/>
  <c r="CR248" i="1"/>
  <c r="CS248" i="1"/>
  <c r="CU248" i="1"/>
  <c r="CV248" i="1"/>
  <c r="U248" i="1" s="1"/>
  <c r="FR248" i="1"/>
  <c r="GL248" i="1"/>
  <c r="GO248" i="1"/>
  <c r="GP248" i="1"/>
  <c r="GV248" i="1"/>
  <c r="HC248" i="1" s="1"/>
  <c r="GX248" i="1" s="1"/>
  <c r="C249" i="1"/>
  <c r="D249" i="1"/>
  <c r="Q249" i="1"/>
  <c r="R249" i="1"/>
  <c r="AB249" i="1"/>
  <c r="AC249" i="1"/>
  <c r="AD249" i="1"/>
  <c r="AE249" i="1"/>
  <c r="AF249" i="1"/>
  <c r="AG249" i="1"/>
  <c r="AH249" i="1"/>
  <c r="CV249" i="1" s="1"/>
  <c r="U249" i="1" s="1"/>
  <c r="AI249" i="1"/>
  <c r="AJ249" i="1"/>
  <c r="CX249" i="1" s="1"/>
  <c r="W249" i="1" s="1"/>
  <c r="CQ249" i="1"/>
  <c r="P249" i="1" s="1"/>
  <c r="CR249" i="1"/>
  <c r="CS249" i="1"/>
  <c r="CT249" i="1"/>
  <c r="S249" i="1" s="1"/>
  <c r="CZ249" i="1" s="1"/>
  <c r="Y249" i="1" s="1"/>
  <c r="CU249" i="1"/>
  <c r="T249" i="1" s="1"/>
  <c r="CW249" i="1"/>
  <c r="V249" i="1" s="1"/>
  <c r="FR249" i="1"/>
  <c r="GL249" i="1"/>
  <c r="GO249" i="1"/>
  <c r="GP249" i="1"/>
  <c r="GV249" i="1"/>
  <c r="HC249" i="1" s="1"/>
  <c r="GX249" i="1" s="1"/>
  <c r="C250" i="1"/>
  <c r="D250" i="1"/>
  <c r="I250" i="1"/>
  <c r="GX250" i="1" s="1"/>
  <c r="K250" i="1"/>
  <c r="AC250" i="1"/>
  <c r="CQ250" i="1" s="1"/>
  <c r="P250" i="1" s="1"/>
  <c r="AE250" i="1"/>
  <c r="AF250" i="1"/>
  <c r="AG250" i="1"/>
  <c r="CU250" i="1" s="1"/>
  <c r="AH250" i="1"/>
  <c r="AI250" i="1"/>
  <c r="AJ250" i="1"/>
  <c r="CR250" i="1"/>
  <c r="Q250" i="1" s="1"/>
  <c r="CT250" i="1"/>
  <c r="CV250" i="1"/>
  <c r="CW250" i="1"/>
  <c r="CX250" i="1"/>
  <c r="W250" i="1" s="1"/>
  <c r="FR250" i="1"/>
  <c r="GL250" i="1"/>
  <c r="GO250" i="1"/>
  <c r="GP250" i="1"/>
  <c r="GV250" i="1"/>
  <c r="HC250" i="1"/>
  <c r="AC251" i="1"/>
  <c r="AE251" i="1"/>
  <c r="AD251" i="1" s="1"/>
  <c r="AB251" i="1" s="1"/>
  <c r="AF251" i="1"/>
  <c r="CT251" i="1" s="1"/>
  <c r="AG251" i="1"/>
  <c r="AH251" i="1"/>
  <c r="AI251" i="1"/>
  <c r="CW251" i="1" s="1"/>
  <c r="AJ251" i="1"/>
  <c r="CX251" i="1" s="1"/>
  <c r="CQ251" i="1"/>
  <c r="CR251" i="1"/>
  <c r="CS251" i="1"/>
  <c r="CU251" i="1"/>
  <c r="CV251" i="1"/>
  <c r="FR251" i="1"/>
  <c r="GL251" i="1"/>
  <c r="GO251" i="1"/>
  <c r="GP251" i="1"/>
  <c r="GV251" i="1"/>
  <c r="HC251" i="1"/>
  <c r="T252" i="1"/>
  <c r="AC252" i="1"/>
  <c r="AE252" i="1"/>
  <c r="AD252" i="1" s="1"/>
  <c r="AB252" i="1" s="1"/>
  <c r="AF252" i="1"/>
  <c r="CT252" i="1" s="1"/>
  <c r="S252" i="1" s="1"/>
  <c r="AG252" i="1"/>
  <c r="AH252" i="1"/>
  <c r="AI252" i="1"/>
  <c r="CW252" i="1" s="1"/>
  <c r="V252" i="1" s="1"/>
  <c r="AJ252" i="1"/>
  <c r="CX252" i="1" s="1"/>
  <c r="W252" i="1" s="1"/>
  <c r="CQ252" i="1"/>
  <c r="P252" i="1" s="1"/>
  <c r="CS252" i="1"/>
  <c r="R252" i="1" s="1"/>
  <c r="CU252" i="1"/>
  <c r="CV252" i="1"/>
  <c r="U252" i="1" s="1"/>
  <c r="CY252" i="1"/>
  <c r="X252" i="1" s="1"/>
  <c r="CZ252" i="1"/>
  <c r="Y252" i="1" s="1"/>
  <c r="FR252" i="1"/>
  <c r="GL252" i="1"/>
  <c r="GO252" i="1"/>
  <c r="GP252" i="1"/>
  <c r="GV252" i="1"/>
  <c r="HC252" i="1"/>
  <c r="GX252" i="1" s="1"/>
  <c r="C253" i="1"/>
  <c r="D253" i="1"/>
  <c r="I253" i="1"/>
  <c r="R253" i="1" s="1"/>
  <c r="K253" i="1"/>
  <c r="P253" i="1"/>
  <c r="AB253" i="1"/>
  <c r="AC253" i="1"/>
  <c r="AE253" i="1"/>
  <c r="AD253" i="1" s="1"/>
  <c r="AF253" i="1"/>
  <c r="CT253" i="1" s="1"/>
  <c r="AG253" i="1"/>
  <c r="AH253" i="1"/>
  <c r="AI253" i="1"/>
  <c r="AJ253" i="1"/>
  <c r="CX253" i="1" s="1"/>
  <c r="W253" i="1" s="1"/>
  <c r="CQ253" i="1"/>
  <c r="CR253" i="1"/>
  <c r="Q253" i="1" s="1"/>
  <c r="CS253" i="1"/>
  <c r="CU253" i="1"/>
  <c r="T253" i="1" s="1"/>
  <c r="CV253" i="1"/>
  <c r="U253" i="1" s="1"/>
  <c r="CW253" i="1"/>
  <c r="V253" i="1" s="1"/>
  <c r="FR253" i="1"/>
  <c r="GL253" i="1"/>
  <c r="GO253" i="1"/>
  <c r="GP253" i="1"/>
  <c r="GV253" i="1"/>
  <c r="HC253" i="1"/>
  <c r="GX253" i="1" s="1"/>
  <c r="AC254" i="1"/>
  <c r="AE254" i="1"/>
  <c r="CS254" i="1" s="1"/>
  <c r="AF254" i="1"/>
  <c r="AG254" i="1"/>
  <c r="AH254" i="1"/>
  <c r="AI254" i="1"/>
  <c r="CW254" i="1" s="1"/>
  <c r="AJ254" i="1"/>
  <c r="CQ254" i="1"/>
  <c r="CR254" i="1"/>
  <c r="CT254" i="1"/>
  <c r="CU254" i="1"/>
  <c r="CV254" i="1"/>
  <c r="CX254" i="1"/>
  <c r="FR254" i="1"/>
  <c r="GL254" i="1"/>
  <c r="GO254" i="1"/>
  <c r="GP254" i="1"/>
  <c r="GV254" i="1"/>
  <c r="HC254" i="1" s="1"/>
  <c r="Q255" i="1"/>
  <c r="W255" i="1"/>
  <c r="AC255" i="1"/>
  <c r="AB255" i="1" s="1"/>
  <c r="AD255" i="1"/>
  <c r="AE255" i="1"/>
  <c r="CS255" i="1" s="1"/>
  <c r="R255" i="1" s="1"/>
  <c r="AF255" i="1"/>
  <c r="AG255" i="1"/>
  <c r="AH255" i="1"/>
  <c r="AI255" i="1"/>
  <c r="CW255" i="1" s="1"/>
  <c r="V255" i="1" s="1"/>
  <c r="AJ255" i="1"/>
  <c r="CR255" i="1"/>
  <c r="CT255" i="1"/>
  <c r="S255" i="1" s="1"/>
  <c r="CU255" i="1"/>
  <c r="T255" i="1" s="1"/>
  <c r="CV255" i="1"/>
  <c r="U255" i="1" s="1"/>
  <c r="CX255" i="1"/>
  <c r="CY255" i="1"/>
  <c r="X255" i="1" s="1"/>
  <c r="CZ255" i="1"/>
  <c r="Y255" i="1" s="1"/>
  <c r="FR255" i="1"/>
  <c r="GL255" i="1"/>
  <c r="GO255" i="1"/>
  <c r="GP255" i="1"/>
  <c r="GV255" i="1"/>
  <c r="HC255" i="1" s="1"/>
  <c r="GX255" i="1"/>
  <c r="C256" i="1"/>
  <c r="D256" i="1"/>
  <c r="AC256" i="1"/>
  <c r="CQ256" i="1" s="1"/>
  <c r="P256" i="1" s="1"/>
  <c r="AE256" i="1"/>
  <c r="AD256" i="1" s="1"/>
  <c r="AF256" i="1"/>
  <c r="AG256" i="1"/>
  <c r="CU256" i="1" s="1"/>
  <c r="T256" i="1" s="1"/>
  <c r="AH256" i="1"/>
  <c r="AI256" i="1"/>
  <c r="AJ256" i="1"/>
  <c r="CS256" i="1"/>
  <c r="R256" i="1" s="1"/>
  <c r="CT256" i="1"/>
  <c r="S256" i="1" s="1"/>
  <c r="CV256" i="1"/>
  <c r="U256" i="1" s="1"/>
  <c r="CW256" i="1"/>
  <c r="V256" i="1" s="1"/>
  <c r="CX256" i="1"/>
  <c r="W256" i="1" s="1"/>
  <c r="FR256" i="1"/>
  <c r="GL256" i="1"/>
  <c r="GO256" i="1"/>
  <c r="GP256" i="1"/>
  <c r="GV256" i="1"/>
  <c r="GX256" i="1"/>
  <c r="HC256" i="1"/>
  <c r="C257" i="1"/>
  <c r="D257" i="1"/>
  <c r="I257" i="1"/>
  <c r="I258" i="1" s="1"/>
  <c r="K257" i="1"/>
  <c r="AC257" i="1"/>
  <c r="CQ257" i="1" s="1"/>
  <c r="AE257" i="1"/>
  <c r="AD257" i="1" s="1"/>
  <c r="AF257" i="1"/>
  <c r="AG257" i="1"/>
  <c r="CU257" i="1" s="1"/>
  <c r="AH257" i="1"/>
  <c r="AI257" i="1"/>
  <c r="CW257" i="1" s="1"/>
  <c r="V257" i="1" s="1"/>
  <c r="AJ257" i="1"/>
  <c r="CR257" i="1"/>
  <c r="Q257" i="1" s="1"/>
  <c r="CS257" i="1"/>
  <c r="R257" i="1" s="1"/>
  <c r="CT257" i="1"/>
  <c r="S257" i="1" s="1"/>
  <c r="CV257" i="1"/>
  <c r="U257" i="1" s="1"/>
  <c r="CX257" i="1"/>
  <c r="W257" i="1" s="1"/>
  <c r="FR257" i="1"/>
  <c r="GL257" i="1"/>
  <c r="GO257" i="1"/>
  <c r="GP257" i="1"/>
  <c r="GV257" i="1"/>
  <c r="GX257" i="1"/>
  <c r="HC257" i="1"/>
  <c r="AC258" i="1"/>
  <c r="AE258" i="1"/>
  <c r="AD258" i="1" s="1"/>
  <c r="AB258" i="1" s="1"/>
  <c r="AF258" i="1"/>
  <c r="CT258" i="1" s="1"/>
  <c r="AG258" i="1"/>
  <c r="AH258" i="1"/>
  <c r="AI258" i="1"/>
  <c r="CW258" i="1" s="1"/>
  <c r="V258" i="1" s="1"/>
  <c r="AJ258" i="1"/>
  <c r="CX258" i="1" s="1"/>
  <c r="CQ258" i="1"/>
  <c r="CS258" i="1"/>
  <c r="R258" i="1" s="1"/>
  <c r="CU258" i="1"/>
  <c r="T258" i="1" s="1"/>
  <c r="CV258" i="1"/>
  <c r="U258" i="1" s="1"/>
  <c r="FR258" i="1"/>
  <c r="GL258" i="1"/>
  <c r="GO258" i="1"/>
  <c r="GP258" i="1"/>
  <c r="GV258" i="1"/>
  <c r="HC258" i="1"/>
  <c r="AC259" i="1"/>
  <c r="AE259" i="1"/>
  <c r="CS259" i="1" s="1"/>
  <c r="AF259" i="1"/>
  <c r="AG259" i="1"/>
  <c r="AH259" i="1"/>
  <c r="AI259" i="1"/>
  <c r="CW259" i="1" s="1"/>
  <c r="AJ259" i="1"/>
  <c r="CQ259" i="1"/>
  <c r="CR259" i="1"/>
  <c r="CT259" i="1"/>
  <c r="CU259" i="1"/>
  <c r="CV259" i="1"/>
  <c r="CX259" i="1"/>
  <c r="FR259" i="1"/>
  <c r="GL259" i="1"/>
  <c r="GO259" i="1"/>
  <c r="GP259" i="1"/>
  <c r="GV259" i="1"/>
  <c r="HC259" i="1" s="1"/>
  <c r="U260" i="1"/>
  <c r="AC260" i="1"/>
  <c r="CQ260" i="1" s="1"/>
  <c r="P260" i="1" s="1"/>
  <c r="AE260" i="1"/>
  <c r="CS260" i="1" s="1"/>
  <c r="R260" i="1" s="1"/>
  <c r="AF260" i="1"/>
  <c r="AG260" i="1"/>
  <c r="AH260" i="1"/>
  <c r="AI260" i="1"/>
  <c r="CW260" i="1" s="1"/>
  <c r="V260" i="1" s="1"/>
  <c r="AJ260" i="1"/>
  <c r="CR260" i="1"/>
  <c r="Q260" i="1" s="1"/>
  <c r="CT260" i="1"/>
  <c r="S260" i="1" s="1"/>
  <c r="CU260" i="1"/>
  <c r="T260" i="1" s="1"/>
  <c r="CV260" i="1"/>
  <c r="CX260" i="1"/>
  <c r="W260" i="1" s="1"/>
  <c r="CY260" i="1"/>
  <c r="X260" i="1" s="1"/>
  <c r="CZ260" i="1"/>
  <c r="Y260" i="1" s="1"/>
  <c r="FR260" i="1"/>
  <c r="GL260" i="1"/>
  <c r="GO260" i="1"/>
  <c r="GP260" i="1"/>
  <c r="GV260" i="1"/>
  <c r="HC260" i="1" s="1"/>
  <c r="GX260" i="1"/>
  <c r="C261" i="1"/>
  <c r="D261" i="1"/>
  <c r="Q261" i="1"/>
  <c r="V261" i="1"/>
  <c r="AC261" i="1"/>
  <c r="AB261" i="1" s="1"/>
  <c r="AE261" i="1"/>
  <c r="AD261" i="1" s="1"/>
  <c r="AF261" i="1"/>
  <c r="AG261" i="1"/>
  <c r="CU261" i="1" s="1"/>
  <c r="T261" i="1" s="1"/>
  <c r="AH261" i="1"/>
  <c r="AI261" i="1"/>
  <c r="AJ261" i="1"/>
  <c r="CQ261" i="1"/>
  <c r="P261" i="1" s="1"/>
  <c r="CP261" i="1" s="1"/>
  <c r="O261" i="1" s="1"/>
  <c r="CR261" i="1"/>
  <c r="CS261" i="1"/>
  <c r="R261" i="1" s="1"/>
  <c r="CT261" i="1"/>
  <c r="S261" i="1" s="1"/>
  <c r="CV261" i="1"/>
  <c r="U261" i="1" s="1"/>
  <c r="CW261" i="1"/>
  <c r="CX261" i="1"/>
  <c r="W261" i="1" s="1"/>
  <c r="FR261" i="1"/>
  <c r="GL261" i="1"/>
  <c r="GO261" i="1"/>
  <c r="GP261" i="1"/>
  <c r="GV261" i="1"/>
  <c r="HC261" i="1"/>
  <c r="GX261" i="1" s="1"/>
  <c r="I262" i="1"/>
  <c r="R262" i="1"/>
  <c r="T262" i="1"/>
  <c r="AC262" i="1"/>
  <c r="AE262" i="1"/>
  <c r="AD262" i="1" s="1"/>
  <c r="AB262" i="1" s="1"/>
  <c r="AF262" i="1"/>
  <c r="CT262" i="1" s="1"/>
  <c r="S262" i="1" s="1"/>
  <c r="AG262" i="1"/>
  <c r="AH262" i="1"/>
  <c r="AI262" i="1"/>
  <c r="AJ262" i="1"/>
  <c r="CX262" i="1" s="1"/>
  <c r="W262" i="1" s="1"/>
  <c r="CQ262" i="1"/>
  <c r="P262" i="1" s="1"/>
  <c r="CR262" i="1"/>
  <c r="Q262" i="1" s="1"/>
  <c r="CS262" i="1"/>
  <c r="CU262" i="1"/>
  <c r="CV262" i="1"/>
  <c r="U262" i="1" s="1"/>
  <c r="CW262" i="1"/>
  <c r="V262" i="1" s="1"/>
  <c r="FR262" i="1"/>
  <c r="GL262" i="1"/>
  <c r="GO262" i="1"/>
  <c r="GP262" i="1"/>
  <c r="GV262" i="1"/>
  <c r="HC262" i="1"/>
  <c r="GX262" i="1" s="1"/>
  <c r="R263" i="1"/>
  <c r="T263" i="1"/>
  <c r="AC263" i="1"/>
  <c r="AE263" i="1"/>
  <c r="AD263" i="1" s="1"/>
  <c r="AB263" i="1" s="1"/>
  <c r="AF263" i="1"/>
  <c r="CT263" i="1" s="1"/>
  <c r="S263" i="1" s="1"/>
  <c r="AG263" i="1"/>
  <c r="AH263" i="1"/>
  <c r="AI263" i="1"/>
  <c r="AJ263" i="1"/>
  <c r="CX263" i="1" s="1"/>
  <c r="W263" i="1" s="1"/>
  <c r="CQ263" i="1"/>
  <c r="P263" i="1" s="1"/>
  <c r="CP263" i="1" s="1"/>
  <c r="O263" i="1" s="1"/>
  <c r="CR263" i="1"/>
  <c r="Q263" i="1" s="1"/>
  <c r="CS263" i="1"/>
  <c r="CU263" i="1"/>
  <c r="CV263" i="1"/>
  <c r="U263" i="1" s="1"/>
  <c r="CW263" i="1"/>
  <c r="V263" i="1" s="1"/>
  <c r="CY263" i="1"/>
  <c r="X263" i="1" s="1"/>
  <c r="CZ263" i="1"/>
  <c r="Y263" i="1" s="1"/>
  <c r="FR263" i="1"/>
  <c r="GL263" i="1"/>
  <c r="GO263" i="1"/>
  <c r="GP263" i="1"/>
  <c r="GV263" i="1"/>
  <c r="HC263" i="1"/>
  <c r="GX263" i="1" s="1"/>
  <c r="C264" i="1"/>
  <c r="D264" i="1"/>
  <c r="I264" i="1"/>
  <c r="I265" i="1" s="1"/>
  <c r="K264" i="1"/>
  <c r="V264" i="1"/>
  <c r="AC264" i="1"/>
  <c r="AE264" i="1"/>
  <c r="AD264" i="1" s="1"/>
  <c r="AB264" i="1" s="1"/>
  <c r="AF264" i="1"/>
  <c r="CT264" i="1" s="1"/>
  <c r="S264" i="1" s="1"/>
  <c r="AG264" i="1"/>
  <c r="AH264" i="1"/>
  <c r="AI264" i="1"/>
  <c r="AJ264" i="1"/>
  <c r="CX264" i="1" s="1"/>
  <c r="W264" i="1" s="1"/>
  <c r="CQ264" i="1"/>
  <c r="CR264" i="1"/>
  <c r="Q264" i="1" s="1"/>
  <c r="CS264" i="1"/>
  <c r="R264" i="1" s="1"/>
  <c r="CU264" i="1"/>
  <c r="T264" i="1" s="1"/>
  <c r="CV264" i="1"/>
  <c r="U264" i="1" s="1"/>
  <c r="CW264" i="1"/>
  <c r="FR264" i="1"/>
  <c r="GL264" i="1"/>
  <c r="GO264" i="1"/>
  <c r="GP264" i="1"/>
  <c r="GV264" i="1"/>
  <c r="HC264" i="1"/>
  <c r="GX264" i="1" s="1"/>
  <c r="AC265" i="1"/>
  <c r="AB265" i="1" s="1"/>
  <c r="AE265" i="1"/>
  <c r="AD265" i="1" s="1"/>
  <c r="AF265" i="1"/>
  <c r="AG265" i="1"/>
  <c r="AH265" i="1"/>
  <c r="AI265" i="1"/>
  <c r="CW265" i="1" s="1"/>
  <c r="AJ265" i="1"/>
  <c r="CQ265" i="1"/>
  <c r="P265" i="1" s="1"/>
  <c r="CR265" i="1"/>
  <c r="Q265" i="1" s="1"/>
  <c r="CT265" i="1"/>
  <c r="CU265" i="1"/>
  <c r="CV265" i="1"/>
  <c r="CX265" i="1"/>
  <c r="FR265" i="1"/>
  <c r="GL265" i="1"/>
  <c r="GO265" i="1"/>
  <c r="GP265" i="1"/>
  <c r="GV265" i="1"/>
  <c r="HC265" i="1" s="1"/>
  <c r="AC266" i="1"/>
  <c r="AB266" i="1" s="1"/>
  <c r="AD266" i="1"/>
  <c r="AE266" i="1"/>
  <c r="AF266" i="1"/>
  <c r="AG266" i="1"/>
  <c r="AH266" i="1"/>
  <c r="CV266" i="1" s="1"/>
  <c r="AI266" i="1"/>
  <c r="AJ266" i="1"/>
  <c r="CQ266" i="1"/>
  <c r="CR266" i="1"/>
  <c r="CS266" i="1"/>
  <c r="CT266" i="1"/>
  <c r="CU266" i="1"/>
  <c r="CW266" i="1"/>
  <c r="CX266" i="1"/>
  <c r="FR266" i="1"/>
  <c r="GL266" i="1"/>
  <c r="GO266" i="1"/>
  <c r="GP266" i="1"/>
  <c r="GV266" i="1"/>
  <c r="HC266" i="1" s="1"/>
  <c r="I267" i="1"/>
  <c r="U267" i="1" s="1"/>
  <c r="S267" i="1"/>
  <c r="CY267" i="1" s="1"/>
  <c r="X267" i="1" s="1"/>
  <c r="AC267" i="1"/>
  <c r="AB267" i="1" s="1"/>
  <c r="AE267" i="1"/>
  <c r="AD267" i="1" s="1"/>
  <c r="AF267" i="1"/>
  <c r="AG267" i="1"/>
  <c r="CU267" i="1" s="1"/>
  <c r="T267" i="1" s="1"/>
  <c r="AH267" i="1"/>
  <c r="AI267" i="1"/>
  <c r="AJ267" i="1"/>
  <c r="CR267" i="1"/>
  <c r="Q267" i="1" s="1"/>
  <c r="CS267" i="1"/>
  <c r="R267" i="1" s="1"/>
  <c r="CT267" i="1"/>
  <c r="CV267" i="1"/>
  <c r="CW267" i="1"/>
  <c r="V267" i="1" s="1"/>
  <c r="CX267" i="1"/>
  <c r="W267" i="1" s="1"/>
  <c r="FR267" i="1"/>
  <c r="GL267" i="1"/>
  <c r="GO267" i="1"/>
  <c r="GP267" i="1"/>
  <c r="CD273" i="1" s="1"/>
  <c r="GV267" i="1"/>
  <c r="HC267" i="1"/>
  <c r="GX267" i="1" s="1"/>
  <c r="S268" i="1"/>
  <c r="U268" i="1"/>
  <c r="AC268" i="1"/>
  <c r="AE268" i="1"/>
  <c r="AD268" i="1" s="1"/>
  <c r="AF268" i="1"/>
  <c r="AG268" i="1"/>
  <c r="CU268" i="1" s="1"/>
  <c r="T268" i="1" s="1"/>
  <c r="AH268" i="1"/>
  <c r="AI268" i="1"/>
  <c r="AJ268" i="1"/>
  <c r="CR268" i="1"/>
  <c r="Q268" i="1" s="1"/>
  <c r="CS268" i="1"/>
  <c r="R268" i="1" s="1"/>
  <c r="CT268" i="1"/>
  <c r="CV268" i="1"/>
  <c r="CW268" i="1"/>
  <c r="V268" i="1" s="1"/>
  <c r="CX268" i="1"/>
  <c r="W268" i="1" s="1"/>
  <c r="CY268" i="1"/>
  <c r="X268" i="1" s="1"/>
  <c r="CZ268" i="1"/>
  <c r="Y268" i="1" s="1"/>
  <c r="FR268" i="1"/>
  <c r="GL268" i="1"/>
  <c r="GO268" i="1"/>
  <c r="GP268" i="1"/>
  <c r="GV268" i="1"/>
  <c r="HC268" i="1"/>
  <c r="GX268" i="1" s="1"/>
  <c r="S269" i="1"/>
  <c r="U269" i="1"/>
  <c r="AC269" i="1"/>
  <c r="AE269" i="1"/>
  <c r="AD269" i="1" s="1"/>
  <c r="AF269" i="1"/>
  <c r="AG269" i="1"/>
  <c r="CU269" i="1" s="1"/>
  <c r="T269" i="1" s="1"/>
  <c r="AH269" i="1"/>
  <c r="AI269" i="1"/>
  <c r="AJ269" i="1"/>
  <c r="CR269" i="1"/>
  <c r="Q269" i="1" s="1"/>
  <c r="CS269" i="1"/>
  <c r="R269" i="1" s="1"/>
  <c r="CT269" i="1"/>
  <c r="CV269" i="1"/>
  <c r="CW269" i="1"/>
  <c r="V269" i="1" s="1"/>
  <c r="CX269" i="1"/>
  <c r="W269" i="1" s="1"/>
  <c r="CY269" i="1"/>
  <c r="X269" i="1" s="1"/>
  <c r="CZ269" i="1"/>
  <c r="Y269" i="1" s="1"/>
  <c r="FR269" i="1"/>
  <c r="GL269" i="1"/>
  <c r="GO269" i="1"/>
  <c r="GP269" i="1"/>
  <c r="GV269" i="1"/>
  <c r="HC269" i="1"/>
  <c r="GX269" i="1" s="1"/>
  <c r="C270" i="1"/>
  <c r="D270" i="1"/>
  <c r="Q270" i="1"/>
  <c r="S270" i="1"/>
  <c r="T270" i="1"/>
  <c r="AC270" i="1"/>
  <c r="AE270" i="1"/>
  <c r="CS270" i="1" s="1"/>
  <c r="R270" i="1" s="1"/>
  <c r="AF270" i="1"/>
  <c r="AG270" i="1"/>
  <c r="AH270" i="1"/>
  <c r="AI270" i="1"/>
  <c r="CW270" i="1" s="1"/>
  <c r="V270" i="1" s="1"/>
  <c r="AJ270" i="1"/>
  <c r="CQ270" i="1"/>
  <c r="P270" i="1" s="1"/>
  <c r="CP270" i="1" s="1"/>
  <c r="O270" i="1" s="1"/>
  <c r="CR270" i="1"/>
  <c r="CT270" i="1"/>
  <c r="CU270" i="1"/>
  <c r="CV270" i="1"/>
  <c r="U270" i="1" s="1"/>
  <c r="CX270" i="1"/>
  <c r="W270" i="1" s="1"/>
  <c r="FR270" i="1"/>
  <c r="GL270" i="1"/>
  <c r="GO270" i="1"/>
  <c r="GP270" i="1"/>
  <c r="GV270" i="1"/>
  <c r="HC270" i="1" s="1"/>
  <c r="GX270" i="1" s="1"/>
  <c r="Q271" i="1"/>
  <c r="S271" i="1"/>
  <c r="T271" i="1"/>
  <c r="Y271" i="1"/>
  <c r="AC271" i="1"/>
  <c r="AE271" i="1"/>
  <c r="CS271" i="1" s="1"/>
  <c r="R271" i="1" s="1"/>
  <c r="AF271" i="1"/>
  <c r="AG271" i="1"/>
  <c r="AH271" i="1"/>
  <c r="AI271" i="1"/>
  <c r="CW271" i="1" s="1"/>
  <c r="V271" i="1" s="1"/>
  <c r="AJ271" i="1"/>
  <c r="CQ271" i="1"/>
  <c r="P271" i="1" s="1"/>
  <c r="CP271" i="1" s="1"/>
  <c r="O271" i="1" s="1"/>
  <c r="CR271" i="1"/>
  <c r="CT271" i="1"/>
  <c r="CU271" i="1"/>
  <c r="CV271" i="1"/>
  <c r="U271" i="1" s="1"/>
  <c r="CX271" i="1"/>
  <c r="W271" i="1" s="1"/>
  <c r="CY271" i="1"/>
  <c r="X271" i="1" s="1"/>
  <c r="CZ271" i="1"/>
  <c r="FR271" i="1"/>
  <c r="GL271" i="1"/>
  <c r="GO271" i="1"/>
  <c r="GP271" i="1"/>
  <c r="GV271" i="1"/>
  <c r="HC271" i="1" s="1"/>
  <c r="GX271" i="1" s="1"/>
  <c r="B273" i="1"/>
  <c r="B245" i="1" s="1"/>
  <c r="C273" i="1"/>
  <c r="C245" i="1" s="1"/>
  <c r="D273" i="1"/>
  <c r="D245" i="1" s="1"/>
  <c r="F273" i="1"/>
  <c r="F245" i="1" s="1"/>
  <c r="G273" i="1"/>
  <c r="G245" i="1" s="1"/>
  <c r="BX273" i="1"/>
  <c r="BX245" i="1" s="1"/>
  <c r="BY273" i="1"/>
  <c r="BY245" i="1" s="1"/>
  <c r="BZ273" i="1"/>
  <c r="BZ245" i="1" s="1"/>
  <c r="CC273" i="1"/>
  <c r="CC245" i="1" s="1"/>
  <c r="CG273" i="1"/>
  <c r="CG245" i="1" s="1"/>
  <c r="CI273" i="1"/>
  <c r="CI245" i="1" s="1"/>
  <c r="CK273" i="1"/>
  <c r="CK245" i="1" s="1"/>
  <c r="CL273" i="1"/>
  <c r="CL245" i="1" s="1"/>
  <c r="D311" i="1"/>
  <c r="E313" i="1"/>
  <c r="Z313" i="1"/>
  <c r="AA313" i="1"/>
  <c r="AM313" i="1"/>
  <c r="AN313" i="1"/>
  <c r="BE313" i="1"/>
  <c r="BF313" i="1"/>
  <c r="BG313" i="1"/>
  <c r="BH313" i="1"/>
  <c r="BI313" i="1"/>
  <c r="BJ313" i="1"/>
  <c r="BK313" i="1"/>
  <c r="BL313" i="1"/>
  <c r="BM313" i="1"/>
  <c r="BN313" i="1"/>
  <c r="BO313" i="1"/>
  <c r="BP313" i="1"/>
  <c r="BQ313" i="1"/>
  <c r="BR313" i="1"/>
  <c r="BS313" i="1"/>
  <c r="BT313" i="1"/>
  <c r="BU313" i="1"/>
  <c r="BV313" i="1"/>
  <c r="BW313" i="1"/>
  <c r="CN313" i="1"/>
  <c r="CO313" i="1"/>
  <c r="CP313" i="1"/>
  <c r="CQ313" i="1"/>
  <c r="CR313" i="1"/>
  <c r="CS313" i="1"/>
  <c r="CT313" i="1"/>
  <c r="CU313" i="1"/>
  <c r="CV313" i="1"/>
  <c r="CW313" i="1"/>
  <c r="CX313" i="1"/>
  <c r="CY313" i="1"/>
  <c r="CZ313" i="1"/>
  <c r="DA313" i="1"/>
  <c r="DB313" i="1"/>
  <c r="DC313" i="1"/>
  <c r="DD313" i="1"/>
  <c r="DE313" i="1"/>
  <c r="DF313" i="1"/>
  <c r="DG313" i="1"/>
  <c r="DH313" i="1"/>
  <c r="DI313" i="1"/>
  <c r="DJ313" i="1"/>
  <c r="DK313" i="1"/>
  <c r="DL313" i="1"/>
  <c r="DM313" i="1"/>
  <c r="DN313" i="1"/>
  <c r="DO313" i="1"/>
  <c r="DP313" i="1"/>
  <c r="DQ313" i="1"/>
  <c r="DR313" i="1"/>
  <c r="DS313" i="1"/>
  <c r="DT313" i="1"/>
  <c r="DU313" i="1"/>
  <c r="DV313" i="1"/>
  <c r="DW313" i="1"/>
  <c r="DX313" i="1"/>
  <c r="DY313" i="1"/>
  <c r="DZ313" i="1"/>
  <c r="EA313" i="1"/>
  <c r="EB313" i="1"/>
  <c r="EC313" i="1"/>
  <c r="ED313" i="1"/>
  <c r="EE313" i="1"/>
  <c r="EF313" i="1"/>
  <c r="EG313" i="1"/>
  <c r="EH313" i="1"/>
  <c r="EI313" i="1"/>
  <c r="EJ313" i="1"/>
  <c r="EK313" i="1"/>
  <c r="EL313" i="1"/>
  <c r="EM313" i="1"/>
  <c r="EN313" i="1"/>
  <c r="EO313" i="1"/>
  <c r="EP313" i="1"/>
  <c r="EQ313" i="1"/>
  <c r="ER313" i="1"/>
  <c r="ES313" i="1"/>
  <c r="ET313" i="1"/>
  <c r="EU313" i="1"/>
  <c r="EV313" i="1"/>
  <c r="EW313" i="1"/>
  <c r="EX313" i="1"/>
  <c r="EY313" i="1"/>
  <c r="EZ313" i="1"/>
  <c r="FA313" i="1"/>
  <c r="FB313" i="1"/>
  <c r="FC313" i="1"/>
  <c r="FD313" i="1"/>
  <c r="FE313" i="1"/>
  <c r="FF313" i="1"/>
  <c r="FG313" i="1"/>
  <c r="FH313" i="1"/>
  <c r="FI313" i="1"/>
  <c r="FJ313" i="1"/>
  <c r="FK313" i="1"/>
  <c r="FL313" i="1"/>
  <c r="FM313" i="1"/>
  <c r="FN313" i="1"/>
  <c r="FO313" i="1"/>
  <c r="FP313" i="1"/>
  <c r="FQ313" i="1"/>
  <c r="FR313" i="1"/>
  <c r="FS313" i="1"/>
  <c r="FT313" i="1"/>
  <c r="FU313" i="1"/>
  <c r="FV313" i="1"/>
  <c r="FW313" i="1"/>
  <c r="FX313" i="1"/>
  <c r="FY313" i="1"/>
  <c r="FZ313" i="1"/>
  <c r="GA313" i="1"/>
  <c r="GB313" i="1"/>
  <c r="GC313" i="1"/>
  <c r="GD313" i="1"/>
  <c r="GE313" i="1"/>
  <c r="GF313" i="1"/>
  <c r="GG313" i="1"/>
  <c r="GH313" i="1"/>
  <c r="GI313" i="1"/>
  <c r="GJ313" i="1"/>
  <c r="GK313" i="1"/>
  <c r="GL313" i="1"/>
  <c r="GM313" i="1"/>
  <c r="GN313" i="1"/>
  <c r="GO313" i="1"/>
  <c r="GP313" i="1"/>
  <c r="GQ313" i="1"/>
  <c r="GR313" i="1"/>
  <c r="GS313" i="1"/>
  <c r="GT313" i="1"/>
  <c r="GU313" i="1"/>
  <c r="GV313" i="1"/>
  <c r="GW313" i="1"/>
  <c r="GX313" i="1"/>
  <c r="C315" i="1"/>
  <c r="D315" i="1"/>
  <c r="I315" i="1"/>
  <c r="K315" i="1"/>
  <c r="P315" i="1"/>
  <c r="AC315" i="1"/>
  <c r="AB315" i="1" s="1"/>
  <c r="AD315" i="1"/>
  <c r="AE315" i="1"/>
  <c r="AF315" i="1"/>
  <c r="CT315" i="1" s="1"/>
  <c r="S315" i="1" s="1"/>
  <c r="AG315" i="1"/>
  <c r="AH315" i="1"/>
  <c r="CV315" i="1" s="1"/>
  <c r="U315" i="1" s="1"/>
  <c r="AI315" i="1"/>
  <c r="AJ315" i="1"/>
  <c r="CQ315" i="1"/>
  <c r="CR315" i="1"/>
  <c r="Q315" i="1" s="1"/>
  <c r="CS315" i="1"/>
  <c r="R315" i="1" s="1"/>
  <c r="CU315" i="1"/>
  <c r="T315" i="1" s="1"/>
  <c r="CW315" i="1"/>
  <c r="V315" i="1" s="1"/>
  <c r="CX315" i="1"/>
  <c r="W315" i="1" s="1"/>
  <c r="FR315" i="1"/>
  <c r="GL315" i="1"/>
  <c r="GO315" i="1"/>
  <c r="GP315" i="1"/>
  <c r="GV315" i="1"/>
  <c r="HC315" i="1" s="1"/>
  <c r="GX315" i="1" s="1"/>
  <c r="I316" i="1"/>
  <c r="W316" i="1"/>
  <c r="AC316" i="1"/>
  <c r="CQ316" i="1" s="1"/>
  <c r="P316" i="1" s="1"/>
  <c r="AE316" i="1"/>
  <c r="AD316" i="1" s="1"/>
  <c r="AF316" i="1"/>
  <c r="AG316" i="1"/>
  <c r="CU316" i="1" s="1"/>
  <c r="T316" i="1" s="1"/>
  <c r="AH316" i="1"/>
  <c r="AI316" i="1"/>
  <c r="AJ316" i="1"/>
  <c r="CR316" i="1"/>
  <c r="Q316" i="1" s="1"/>
  <c r="CS316" i="1"/>
  <c r="R316" i="1" s="1"/>
  <c r="CT316" i="1"/>
  <c r="S316" i="1" s="1"/>
  <c r="CV316" i="1"/>
  <c r="U316" i="1" s="1"/>
  <c r="CW316" i="1"/>
  <c r="V316" i="1" s="1"/>
  <c r="CX316" i="1"/>
  <c r="FR316" i="1"/>
  <c r="GL316" i="1"/>
  <c r="GO316" i="1"/>
  <c r="GP316" i="1"/>
  <c r="GV316" i="1"/>
  <c r="HC316" i="1"/>
  <c r="GX316" i="1" s="1"/>
  <c r="W317" i="1"/>
  <c r="AC317" i="1"/>
  <c r="CQ317" i="1" s="1"/>
  <c r="P317" i="1" s="1"/>
  <c r="AE317" i="1"/>
  <c r="AD317" i="1" s="1"/>
  <c r="AF317" i="1"/>
  <c r="AG317" i="1"/>
  <c r="CU317" i="1" s="1"/>
  <c r="T317" i="1" s="1"/>
  <c r="AH317" i="1"/>
  <c r="AI317" i="1"/>
  <c r="AJ317" i="1"/>
  <c r="CR317" i="1"/>
  <c r="Q317" i="1" s="1"/>
  <c r="CS317" i="1"/>
  <c r="R317" i="1" s="1"/>
  <c r="CT317" i="1"/>
  <c r="S317" i="1" s="1"/>
  <c r="CV317" i="1"/>
  <c r="U317" i="1" s="1"/>
  <c r="CW317" i="1"/>
  <c r="V317" i="1" s="1"/>
  <c r="CX317" i="1"/>
  <c r="CY317" i="1"/>
  <c r="X317" i="1" s="1"/>
  <c r="CZ317" i="1"/>
  <c r="Y317" i="1" s="1"/>
  <c r="FR317" i="1"/>
  <c r="GL317" i="1"/>
  <c r="GO317" i="1"/>
  <c r="GP317" i="1"/>
  <c r="GV317" i="1"/>
  <c r="HC317" i="1"/>
  <c r="GX317" i="1" s="1"/>
  <c r="C318" i="1"/>
  <c r="D318" i="1"/>
  <c r="I318" i="1"/>
  <c r="K318" i="1"/>
  <c r="S318" i="1"/>
  <c r="CY318" i="1" s="1"/>
  <c r="X318" i="1" s="1"/>
  <c r="AC318" i="1"/>
  <c r="AE318" i="1"/>
  <c r="AD318" i="1" s="1"/>
  <c r="AF318" i="1"/>
  <c r="AG318" i="1"/>
  <c r="CU318" i="1" s="1"/>
  <c r="T318" i="1" s="1"/>
  <c r="AH318" i="1"/>
  <c r="AI318" i="1"/>
  <c r="AJ318" i="1"/>
  <c r="CR318" i="1"/>
  <c r="Q318" i="1" s="1"/>
  <c r="CS318" i="1"/>
  <c r="R318" i="1" s="1"/>
  <c r="CT318" i="1"/>
  <c r="CV318" i="1"/>
  <c r="U318" i="1" s="1"/>
  <c r="CW318" i="1"/>
  <c r="V318" i="1" s="1"/>
  <c r="CX318" i="1"/>
  <c r="W318" i="1" s="1"/>
  <c r="FR318" i="1"/>
  <c r="GL318" i="1"/>
  <c r="GO318" i="1"/>
  <c r="GP318" i="1"/>
  <c r="GV318" i="1"/>
  <c r="HC318" i="1"/>
  <c r="GX318" i="1" s="1"/>
  <c r="C319" i="1"/>
  <c r="D319" i="1"/>
  <c r="Q319" i="1"/>
  <c r="AC319" i="1"/>
  <c r="AE319" i="1"/>
  <c r="CS319" i="1" s="1"/>
  <c r="R319" i="1" s="1"/>
  <c r="AF319" i="1"/>
  <c r="AG319" i="1"/>
  <c r="CU319" i="1" s="1"/>
  <c r="T319" i="1" s="1"/>
  <c r="AH319" i="1"/>
  <c r="AI319" i="1"/>
  <c r="CW319" i="1" s="1"/>
  <c r="V319" i="1" s="1"/>
  <c r="AJ319" i="1"/>
  <c r="CR319" i="1"/>
  <c r="CT319" i="1"/>
  <c r="S319" i="1" s="1"/>
  <c r="CV319" i="1"/>
  <c r="U319" i="1" s="1"/>
  <c r="CX319" i="1"/>
  <c r="W319" i="1" s="1"/>
  <c r="FR319" i="1"/>
  <c r="GL319" i="1"/>
  <c r="GO319" i="1"/>
  <c r="GP319" i="1"/>
  <c r="GV319" i="1"/>
  <c r="HC319" i="1" s="1"/>
  <c r="GX319" i="1" s="1"/>
  <c r="C320" i="1"/>
  <c r="D320" i="1"/>
  <c r="I320" i="1"/>
  <c r="K320" i="1"/>
  <c r="U320" i="1"/>
  <c r="AC320" i="1"/>
  <c r="AE320" i="1"/>
  <c r="AD320" i="1" s="1"/>
  <c r="AF320" i="1"/>
  <c r="AG320" i="1"/>
  <c r="CU320" i="1" s="1"/>
  <c r="T320" i="1" s="1"/>
  <c r="AH320" i="1"/>
  <c r="AI320" i="1"/>
  <c r="CW320" i="1" s="1"/>
  <c r="V320" i="1" s="1"/>
  <c r="AJ320" i="1"/>
  <c r="CR320" i="1"/>
  <c r="Q320" i="1" s="1"/>
  <c r="CT320" i="1"/>
  <c r="S320" i="1" s="1"/>
  <c r="CV320" i="1"/>
  <c r="CX320" i="1"/>
  <c r="W320" i="1" s="1"/>
  <c r="FR320" i="1"/>
  <c r="GL320" i="1"/>
  <c r="GO320" i="1"/>
  <c r="GP320" i="1"/>
  <c r="GV320" i="1"/>
  <c r="HC320" i="1" s="1"/>
  <c r="GX320" i="1" s="1"/>
  <c r="C321" i="1"/>
  <c r="D321" i="1"/>
  <c r="I321" i="1"/>
  <c r="K321" i="1"/>
  <c r="Q321" i="1"/>
  <c r="AC321" i="1"/>
  <c r="AE321" i="1"/>
  <c r="CS321" i="1" s="1"/>
  <c r="R321" i="1" s="1"/>
  <c r="AF321" i="1"/>
  <c r="AG321" i="1"/>
  <c r="CU321" i="1" s="1"/>
  <c r="T321" i="1" s="1"/>
  <c r="AH321" i="1"/>
  <c r="AI321" i="1"/>
  <c r="CW321" i="1" s="1"/>
  <c r="V321" i="1" s="1"/>
  <c r="AJ321" i="1"/>
  <c r="CR321" i="1"/>
  <c r="CT321" i="1"/>
  <c r="S321" i="1" s="1"/>
  <c r="CV321" i="1"/>
  <c r="U321" i="1" s="1"/>
  <c r="CX321" i="1"/>
  <c r="W321" i="1" s="1"/>
  <c r="FR321" i="1"/>
  <c r="GL321" i="1"/>
  <c r="GO321" i="1"/>
  <c r="GP321" i="1"/>
  <c r="GV321" i="1"/>
  <c r="HC321" i="1" s="1"/>
  <c r="GX321" i="1" s="1"/>
  <c r="C322" i="1"/>
  <c r="D322" i="1"/>
  <c r="I322" i="1"/>
  <c r="K322" i="1"/>
  <c r="U322" i="1"/>
  <c r="AC322" i="1"/>
  <c r="AE322" i="1"/>
  <c r="AD322" i="1" s="1"/>
  <c r="AF322" i="1"/>
  <c r="AG322" i="1"/>
  <c r="CU322" i="1" s="1"/>
  <c r="T322" i="1" s="1"/>
  <c r="AH322" i="1"/>
  <c r="AI322" i="1"/>
  <c r="CW322" i="1" s="1"/>
  <c r="V322" i="1" s="1"/>
  <c r="AJ322" i="1"/>
  <c r="CR322" i="1"/>
  <c r="Q322" i="1" s="1"/>
  <c r="CT322" i="1"/>
  <c r="S322" i="1" s="1"/>
  <c r="CV322" i="1"/>
  <c r="CX322" i="1"/>
  <c r="W322" i="1" s="1"/>
  <c r="FR322" i="1"/>
  <c r="GL322" i="1"/>
  <c r="GO322" i="1"/>
  <c r="GP322" i="1"/>
  <c r="GV322" i="1"/>
  <c r="HC322" i="1" s="1"/>
  <c r="GX322" i="1" s="1"/>
  <c r="C323" i="1"/>
  <c r="D323" i="1"/>
  <c r="I323" i="1"/>
  <c r="K323" i="1"/>
  <c r="Q323" i="1"/>
  <c r="AC323" i="1"/>
  <c r="AE323" i="1"/>
  <c r="CS323" i="1" s="1"/>
  <c r="R323" i="1" s="1"/>
  <c r="AF323" i="1"/>
  <c r="AG323" i="1"/>
  <c r="CU323" i="1" s="1"/>
  <c r="T323" i="1" s="1"/>
  <c r="AH323" i="1"/>
  <c r="AI323" i="1"/>
  <c r="CW323" i="1" s="1"/>
  <c r="V323" i="1" s="1"/>
  <c r="AJ323" i="1"/>
  <c r="CR323" i="1"/>
  <c r="CT323" i="1"/>
  <c r="S323" i="1" s="1"/>
  <c r="CV323" i="1"/>
  <c r="U323" i="1" s="1"/>
  <c r="CX323" i="1"/>
  <c r="W323" i="1" s="1"/>
  <c r="FR323" i="1"/>
  <c r="GL323" i="1"/>
  <c r="GO323" i="1"/>
  <c r="GP323" i="1"/>
  <c r="GV323" i="1"/>
  <c r="HC323" i="1" s="1"/>
  <c r="GX323" i="1" s="1"/>
  <c r="AC324" i="1"/>
  <c r="AD324" i="1"/>
  <c r="AB324" i="1" s="1"/>
  <c r="AE324" i="1"/>
  <c r="AF324" i="1"/>
  <c r="CT324" i="1" s="1"/>
  <c r="AG324" i="1"/>
  <c r="AH324" i="1"/>
  <c r="CV324" i="1" s="1"/>
  <c r="AI324" i="1"/>
  <c r="AJ324" i="1"/>
  <c r="CX324" i="1" s="1"/>
  <c r="CQ324" i="1"/>
  <c r="CR324" i="1"/>
  <c r="CS324" i="1"/>
  <c r="CU324" i="1"/>
  <c r="CW324" i="1"/>
  <c r="FR324" i="1"/>
  <c r="GL324" i="1"/>
  <c r="GO324" i="1"/>
  <c r="GP324" i="1"/>
  <c r="GV324" i="1"/>
  <c r="HC324" i="1" s="1"/>
  <c r="AC325" i="1"/>
  <c r="CQ325" i="1" s="1"/>
  <c r="AE325" i="1"/>
  <c r="AD325" i="1" s="1"/>
  <c r="AF325" i="1"/>
  <c r="AG325" i="1"/>
  <c r="CU325" i="1" s="1"/>
  <c r="AH325" i="1"/>
  <c r="AI325" i="1"/>
  <c r="CW325" i="1" s="1"/>
  <c r="AJ325" i="1"/>
  <c r="CR325" i="1"/>
  <c r="CT325" i="1"/>
  <c r="CV325" i="1"/>
  <c r="CX325" i="1"/>
  <c r="FR325" i="1"/>
  <c r="GL325" i="1"/>
  <c r="GO325" i="1"/>
  <c r="GP325" i="1"/>
  <c r="GV325" i="1"/>
  <c r="HC325" i="1"/>
  <c r="W326" i="1"/>
  <c r="AC326" i="1"/>
  <c r="CQ326" i="1" s="1"/>
  <c r="P326" i="1" s="1"/>
  <c r="AE326" i="1"/>
  <c r="AD326" i="1" s="1"/>
  <c r="AF326" i="1"/>
  <c r="AG326" i="1"/>
  <c r="CU326" i="1" s="1"/>
  <c r="T326" i="1" s="1"/>
  <c r="AH326" i="1"/>
  <c r="AI326" i="1"/>
  <c r="CW326" i="1" s="1"/>
  <c r="V326" i="1" s="1"/>
  <c r="AJ326" i="1"/>
  <c r="CR326" i="1"/>
  <c r="Q326" i="1" s="1"/>
  <c r="CT326" i="1"/>
  <c r="S326" i="1" s="1"/>
  <c r="CV326" i="1"/>
  <c r="U326" i="1" s="1"/>
  <c r="CX326" i="1"/>
  <c r="CY326" i="1"/>
  <c r="X326" i="1" s="1"/>
  <c r="CZ326" i="1"/>
  <c r="Y326" i="1" s="1"/>
  <c r="FR326" i="1"/>
  <c r="GL326" i="1"/>
  <c r="GO326" i="1"/>
  <c r="GP326" i="1"/>
  <c r="GV326" i="1"/>
  <c r="GX326" i="1"/>
  <c r="HC326" i="1"/>
  <c r="U327" i="1"/>
  <c r="W327" i="1"/>
  <c r="AC327" i="1"/>
  <c r="CQ327" i="1" s="1"/>
  <c r="P327" i="1" s="1"/>
  <c r="AE327" i="1"/>
  <c r="AD327" i="1" s="1"/>
  <c r="AF327" i="1"/>
  <c r="AG327" i="1"/>
  <c r="CU327" i="1" s="1"/>
  <c r="T327" i="1" s="1"/>
  <c r="AH327" i="1"/>
  <c r="AI327" i="1"/>
  <c r="CW327" i="1" s="1"/>
  <c r="V327" i="1" s="1"/>
  <c r="AJ327" i="1"/>
  <c r="CR327" i="1"/>
  <c r="Q327" i="1" s="1"/>
  <c r="CT327" i="1"/>
  <c r="S327" i="1" s="1"/>
  <c r="CV327" i="1"/>
  <c r="CX327" i="1"/>
  <c r="CY327" i="1"/>
  <c r="X327" i="1" s="1"/>
  <c r="CZ327" i="1"/>
  <c r="Y327" i="1" s="1"/>
  <c r="FR327" i="1"/>
  <c r="GL327" i="1"/>
  <c r="GO327" i="1"/>
  <c r="GP327" i="1"/>
  <c r="GV327" i="1"/>
  <c r="GX327" i="1"/>
  <c r="HC327" i="1"/>
  <c r="C328" i="1"/>
  <c r="D328" i="1"/>
  <c r="U328" i="1"/>
  <c r="AC328" i="1"/>
  <c r="AE328" i="1"/>
  <c r="AF328" i="1"/>
  <c r="AG328" i="1"/>
  <c r="CU328" i="1" s="1"/>
  <c r="T328" i="1" s="1"/>
  <c r="AH328" i="1"/>
  <c r="AI328" i="1"/>
  <c r="CW328" i="1" s="1"/>
  <c r="V328" i="1" s="1"/>
  <c r="AJ328" i="1"/>
  <c r="CT328" i="1"/>
  <c r="S328" i="1" s="1"/>
  <c r="CV328" i="1"/>
  <c r="CX328" i="1"/>
  <c r="W328" i="1" s="1"/>
  <c r="FR328" i="1"/>
  <c r="GL328" i="1"/>
  <c r="GO328" i="1"/>
  <c r="GP328" i="1"/>
  <c r="GV328" i="1"/>
  <c r="HC328" i="1" s="1"/>
  <c r="GX328" i="1" s="1"/>
  <c r="I329" i="1"/>
  <c r="T329" i="1"/>
  <c r="AC329" i="1"/>
  <c r="AD329" i="1"/>
  <c r="AB329" i="1" s="1"/>
  <c r="AE329" i="1"/>
  <c r="AF329" i="1"/>
  <c r="CT329" i="1" s="1"/>
  <c r="S329" i="1" s="1"/>
  <c r="CZ329" i="1" s="1"/>
  <c r="Y329" i="1" s="1"/>
  <c r="AG329" i="1"/>
  <c r="AH329" i="1"/>
  <c r="CV329" i="1" s="1"/>
  <c r="U329" i="1" s="1"/>
  <c r="AI329" i="1"/>
  <c r="AJ329" i="1"/>
  <c r="CX329" i="1" s="1"/>
  <c r="W329" i="1" s="1"/>
  <c r="CQ329" i="1"/>
  <c r="P329" i="1" s="1"/>
  <c r="CP329" i="1" s="1"/>
  <c r="O329" i="1" s="1"/>
  <c r="GM329" i="1" s="1"/>
  <c r="GN329" i="1" s="1"/>
  <c r="CR329" i="1"/>
  <c r="Q329" i="1" s="1"/>
  <c r="CS329" i="1"/>
  <c r="R329" i="1" s="1"/>
  <c r="CU329" i="1"/>
  <c r="CW329" i="1"/>
  <c r="V329" i="1" s="1"/>
  <c r="CY329" i="1"/>
  <c r="X329" i="1" s="1"/>
  <c r="FR329" i="1"/>
  <c r="GL329" i="1"/>
  <c r="GO329" i="1"/>
  <c r="GP329" i="1"/>
  <c r="GV329" i="1"/>
  <c r="HC329" i="1" s="1"/>
  <c r="GX329" i="1" s="1"/>
  <c r="I330" i="1"/>
  <c r="K330" i="1"/>
  <c r="R330" i="1"/>
  <c r="T330" i="1"/>
  <c r="AB330" i="1"/>
  <c r="AC330" i="1"/>
  <c r="AD330" i="1"/>
  <c r="AE330" i="1"/>
  <c r="AF330" i="1"/>
  <c r="CT330" i="1" s="1"/>
  <c r="S330" i="1" s="1"/>
  <c r="AG330" i="1"/>
  <c r="AH330" i="1"/>
  <c r="CV330" i="1" s="1"/>
  <c r="U330" i="1" s="1"/>
  <c r="AI330" i="1"/>
  <c r="AJ330" i="1"/>
  <c r="CX330" i="1" s="1"/>
  <c r="W330" i="1" s="1"/>
  <c r="CQ330" i="1"/>
  <c r="P330" i="1" s="1"/>
  <c r="CP330" i="1" s="1"/>
  <c r="O330" i="1" s="1"/>
  <c r="GM330" i="1" s="1"/>
  <c r="GN330" i="1" s="1"/>
  <c r="CR330" i="1"/>
  <c r="Q330" i="1" s="1"/>
  <c r="CS330" i="1"/>
  <c r="CU330" i="1"/>
  <c r="CW330" i="1"/>
  <c r="V330" i="1" s="1"/>
  <c r="CY330" i="1"/>
  <c r="X330" i="1" s="1"/>
  <c r="CZ330" i="1"/>
  <c r="Y330" i="1" s="1"/>
  <c r="FR330" i="1"/>
  <c r="GL330" i="1"/>
  <c r="GO330" i="1"/>
  <c r="GP330" i="1"/>
  <c r="GV330" i="1"/>
  <c r="HC330" i="1"/>
  <c r="GX330" i="1" s="1"/>
  <c r="C331" i="1"/>
  <c r="D331" i="1"/>
  <c r="I331" i="1"/>
  <c r="I332" i="1" s="1"/>
  <c r="W332" i="1" s="1"/>
  <c r="K331" i="1"/>
  <c r="P331" i="1"/>
  <c r="AC331" i="1"/>
  <c r="AD331" i="1"/>
  <c r="AE331" i="1"/>
  <c r="AF331" i="1"/>
  <c r="AG331" i="1"/>
  <c r="AH331" i="1"/>
  <c r="CV331" i="1" s="1"/>
  <c r="U331" i="1" s="1"/>
  <c r="AI331" i="1"/>
  <c r="AJ331" i="1"/>
  <c r="CX331" i="1" s="1"/>
  <c r="W331" i="1" s="1"/>
  <c r="CQ331" i="1"/>
  <c r="CR331" i="1"/>
  <c r="Q331" i="1" s="1"/>
  <c r="CS331" i="1"/>
  <c r="R331" i="1" s="1"/>
  <c r="CU331" i="1"/>
  <c r="T331" i="1" s="1"/>
  <c r="CW331" i="1"/>
  <c r="V331" i="1" s="1"/>
  <c r="FR331" i="1"/>
  <c r="GL331" i="1"/>
  <c r="GO331" i="1"/>
  <c r="GP331" i="1"/>
  <c r="GV331" i="1"/>
  <c r="HC331" i="1"/>
  <c r="GX331" i="1" s="1"/>
  <c r="U332" i="1"/>
  <c r="AC332" i="1"/>
  <c r="AE332" i="1"/>
  <c r="AF332" i="1"/>
  <c r="AG332" i="1"/>
  <c r="CU332" i="1" s="1"/>
  <c r="T332" i="1" s="1"/>
  <c r="AH332" i="1"/>
  <c r="AI332" i="1"/>
  <c r="CW332" i="1" s="1"/>
  <c r="AJ332" i="1"/>
  <c r="CR332" i="1"/>
  <c r="Q332" i="1" s="1"/>
  <c r="CT332" i="1"/>
  <c r="CV332" i="1"/>
  <c r="CX332" i="1"/>
  <c r="FR332" i="1"/>
  <c r="GL332" i="1"/>
  <c r="GO332" i="1"/>
  <c r="GP332" i="1"/>
  <c r="GV332" i="1"/>
  <c r="HC332" i="1" s="1"/>
  <c r="I333" i="1"/>
  <c r="P333" i="1"/>
  <c r="V333" i="1"/>
  <c r="AC333" i="1"/>
  <c r="AD333" i="1"/>
  <c r="AE333" i="1"/>
  <c r="AF333" i="1"/>
  <c r="CT333" i="1" s="1"/>
  <c r="S333" i="1" s="1"/>
  <c r="AG333" i="1"/>
  <c r="AH333" i="1"/>
  <c r="CV333" i="1" s="1"/>
  <c r="AI333" i="1"/>
  <c r="AJ333" i="1"/>
  <c r="CX333" i="1" s="1"/>
  <c r="W333" i="1" s="1"/>
  <c r="CQ333" i="1"/>
  <c r="CR333" i="1"/>
  <c r="CS333" i="1"/>
  <c r="CU333" i="1"/>
  <c r="T333" i="1" s="1"/>
  <c r="CW333" i="1"/>
  <c r="FR333" i="1"/>
  <c r="GL333" i="1"/>
  <c r="GO333" i="1"/>
  <c r="GP333" i="1"/>
  <c r="GV333" i="1"/>
  <c r="HC333" i="1" s="1"/>
  <c r="GX333" i="1" s="1"/>
  <c r="I334" i="1"/>
  <c r="K334" i="1"/>
  <c r="R334" i="1"/>
  <c r="V334" i="1"/>
  <c r="AC334" i="1"/>
  <c r="AD334" i="1"/>
  <c r="AE334" i="1"/>
  <c r="AF334" i="1"/>
  <c r="CT334" i="1" s="1"/>
  <c r="S334" i="1" s="1"/>
  <c r="AG334" i="1"/>
  <c r="AH334" i="1"/>
  <c r="CV334" i="1" s="1"/>
  <c r="U334" i="1" s="1"/>
  <c r="AI334" i="1"/>
  <c r="AJ334" i="1"/>
  <c r="CX334" i="1" s="1"/>
  <c r="W334" i="1" s="1"/>
  <c r="CQ334" i="1"/>
  <c r="P334" i="1" s="1"/>
  <c r="CR334" i="1"/>
  <c r="Q334" i="1" s="1"/>
  <c r="CS334" i="1"/>
  <c r="CU334" i="1"/>
  <c r="T334" i="1" s="1"/>
  <c r="CW334" i="1"/>
  <c r="CY334" i="1"/>
  <c r="X334" i="1" s="1"/>
  <c r="CZ334" i="1"/>
  <c r="Y334" i="1" s="1"/>
  <c r="FR334" i="1"/>
  <c r="GL334" i="1"/>
  <c r="GO334" i="1"/>
  <c r="GP334" i="1"/>
  <c r="GV334" i="1"/>
  <c r="HC334" i="1"/>
  <c r="GX334" i="1" s="1"/>
  <c r="P335" i="1"/>
  <c r="R335" i="1"/>
  <c r="X335" i="1"/>
  <c r="AB335" i="1"/>
  <c r="AC335" i="1"/>
  <c r="AD335" i="1"/>
  <c r="AE335" i="1"/>
  <c r="AF335" i="1"/>
  <c r="CT335" i="1" s="1"/>
  <c r="S335" i="1" s="1"/>
  <c r="AG335" i="1"/>
  <c r="AH335" i="1"/>
  <c r="CV335" i="1" s="1"/>
  <c r="U335" i="1" s="1"/>
  <c r="AI335" i="1"/>
  <c r="AJ335" i="1"/>
  <c r="CX335" i="1" s="1"/>
  <c r="W335" i="1" s="1"/>
  <c r="CQ335" i="1"/>
  <c r="CR335" i="1"/>
  <c r="Q335" i="1" s="1"/>
  <c r="CS335" i="1"/>
  <c r="CU335" i="1"/>
  <c r="T335" i="1" s="1"/>
  <c r="CW335" i="1"/>
  <c r="V335" i="1" s="1"/>
  <c r="CY335" i="1"/>
  <c r="CZ335" i="1"/>
  <c r="Y335" i="1" s="1"/>
  <c r="FR335" i="1"/>
  <c r="GL335" i="1"/>
  <c r="GO335" i="1"/>
  <c r="GP335" i="1"/>
  <c r="GV335" i="1"/>
  <c r="HC335" i="1" s="1"/>
  <c r="GX335" i="1" s="1"/>
  <c r="C336" i="1"/>
  <c r="D336" i="1"/>
  <c r="I336" i="1"/>
  <c r="I337" i="1" s="1"/>
  <c r="K336" i="1"/>
  <c r="R336" i="1"/>
  <c r="AC336" i="1"/>
  <c r="AD336" i="1"/>
  <c r="AB336" i="1" s="1"/>
  <c r="AE336" i="1"/>
  <c r="AF336" i="1"/>
  <c r="CT336" i="1" s="1"/>
  <c r="S336" i="1" s="1"/>
  <c r="CY336" i="1" s="1"/>
  <c r="X336" i="1" s="1"/>
  <c r="AG336" i="1"/>
  <c r="AH336" i="1"/>
  <c r="AI336" i="1"/>
  <c r="CW336" i="1" s="1"/>
  <c r="V336" i="1" s="1"/>
  <c r="AJ336" i="1"/>
  <c r="CX336" i="1" s="1"/>
  <c r="W336" i="1" s="1"/>
  <c r="CQ336" i="1"/>
  <c r="P336" i="1" s="1"/>
  <c r="CR336" i="1"/>
  <c r="Q336" i="1" s="1"/>
  <c r="CS336" i="1"/>
  <c r="CU336" i="1"/>
  <c r="T336" i="1" s="1"/>
  <c r="CV336" i="1"/>
  <c r="U336" i="1" s="1"/>
  <c r="FR336" i="1"/>
  <c r="GL336" i="1"/>
  <c r="GO336" i="1"/>
  <c r="GP336" i="1"/>
  <c r="GV336" i="1"/>
  <c r="HC336" i="1"/>
  <c r="GX336" i="1" s="1"/>
  <c r="S337" i="1"/>
  <c r="CY337" i="1" s="1"/>
  <c r="X337" i="1" s="1"/>
  <c r="AC337" i="1"/>
  <c r="AE337" i="1"/>
  <c r="CS337" i="1" s="1"/>
  <c r="R337" i="1" s="1"/>
  <c r="AF337" i="1"/>
  <c r="AG337" i="1"/>
  <c r="AH337" i="1"/>
  <c r="AI337" i="1"/>
  <c r="CW337" i="1" s="1"/>
  <c r="V337" i="1" s="1"/>
  <c r="AJ337" i="1"/>
  <c r="CQ337" i="1"/>
  <c r="P337" i="1" s="1"/>
  <c r="CP337" i="1" s="1"/>
  <c r="O337" i="1" s="1"/>
  <c r="CR337" i="1"/>
  <c r="Q337" i="1" s="1"/>
  <c r="CT337" i="1"/>
  <c r="CU337" i="1"/>
  <c r="T337" i="1" s="1"/>
  <c r="CV337" i="1"/>
  <c r="U337" i="1" s="1"/>
  <c r="CX337" i="1"/>
  <c r="W337" i="1" s="1"/>
  <c r="FR337" i="1"/>
  <c r="GL337" i="1"/>
  <c r="BZ340" i="1" s="1"/>
  <c r="GO337" i="1"/>
  <c r="GP337" i="1"/>
  <c r="GV337" i="1"/>
  <c r="HC337" i="1" s="1"/>
  <c r="GX337" i="1" s="1"/>
  <c r="W338" i="1"/>
  <c r="AC338" i="1"/>
  <c r="CQ338" i="1" s="1"/>
  <c r="P338" i="1" s="1"/>
  <c r="AE338" i="1"/>
  <c r="CS338" i="1" s="1"/>
  <c r="R338" i="1" s="1"/>
  <c r="AF338" i="1"/>
  <c r="AG338" i="1"/>
  <c r="AH338" i="1"/>
  <c r="AI338" i="1"/>
  <c r="CW338" i="1" s="1"/>
  <c r="V338" i="1" s="1"/>
  <c r="AJ338" i="1"/>
  <c r="CR338" i="1"/>
  <c r="Q338" i="1" s="1"/>
  <c r="CT338" i="1"/>
  <c r="S338" i="1" s="1"/>
  <c r="CU338" i="1"/>
  <c r="T338" i="1" s="1"/>
  <c r="CV338" i="1"/>
  <c r="U338" i="1" s="1"/>
  <c r="CX338" i="1"/>
  <c r="CY338" i="1"/>
  <c r="X338" i="1" s="1"/>
  <c r="CZ338" i="1"/>
  <c r="Y338" i="1" s="1"/>
  <c r="FR338" i="1"/>
  <c r="GL338" i="1"/>
  <c r="GO338" i="1"/>
  <c r="GP338" i="1"/>
  <c r="GV338" i="1"/>
  <c r="HC338" i="1" s="1"/>
  <c r="GX338" i="1"/>
  <c r="B340" i="1"/>
  <c r="B313" i="1" s="1"/>
  <c r="C340" i="1"/>
  <c r="C313" i="1" s="1"/>
  <c r="D340" i="1"/>
  <c r="D313" i="1" s="1"/>
  <c r="F340" i="1"/>
  <c r="F313" i="1" s="1"/>
  <c r="G340" i="1"/>
  <c r="G313" i="1" s="1"/>
  <c r="BB340" i="1"/>
  <c r="BB313" i="1" s="1"/>
  <c r="BX340" i="1"/>
  <c r="AO340" i="1" s="1"/>
  <c r="AO313" i="1" s="1"/>
  <c r="BY340" i="1"/>
  <c r="BY313" i="1" s="1"/>
  <c r="CC340" i="1"/>
  <c r="CC313" i="1" s="1"/>
  <c r="CD340" i="1"/>
  <c r="CD313" i="1" s="1"/>
  <c r="CK340" i="1"/>
  <c r="CK313" i="1" s="1"/>
  <c r="CL340" i="1"/>
  <c r="CL313" i="1" s="1"/>
  <c r="CM340" i="1"/>
  <c r="CM313" i="1" s="1"/>
  <c r="F353" i="1"/>
  <c r="D378" i="1"/>
  <c r="C380" i="1"/>
  <c r="E380" i="1"/>
  <c r="Z380" i="1"/>
  <c r="AA380" i="1"/>
  <c r="AM380" i="1"/>
  <c r="AN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CN380" i="1"/>
  <c r="CO380" i="1"/>
  <c r="CP380" i="1"/>
  <c r="CQ380" i="1"/>
  <c r="CR380" i="1"/>
  <c r="CS380" i="1"/>
  <c r="CT380" i="1"/>
  <c r="CU380" i="1"/>
  <c r="CV380" i="1"/>
  <c r="CW380" i="1"/>
  <c r="CX380" i="1"/>
  <c r="CY380" i="1"/>
  <c r="CZ380" i="1"/>
  <c r="DA380" i="1"/>
  <c r="DB380" i="1"/>
  <c r="DC380" i="1"/>
  <c r="DD380" i="1"/>
  <c r="DE380" i="1"/>
  <c r="DF380" i="1"/>
  <c r="DG380" i="1"/>
  <c r="DH380" i="1"/>
  <c r="DI380" i="1"/>
  <c r="DJ380" i="1"/>
  <c r="DK380" i="1"/>
  <c r="DL380" i="1"/>
  <c r="DM380" i="1"/>
  <c r="DN380" i="1"/>
  <c r="DO380" i="1"/>
  <c r="DP380" i="1"/>
  <c r="DQ380" i="1"/>
  <c r="DR380" i="1"/>
  <c r="DS380" i="1"/>
  <c r="DT380" i="1"/>
  <c r="DU380" i="1"/>
  <c r="DV380" i="1"/>
  <c r="DW380" i="1"/>
  <c r="DX380" i="1"/>
  <c r="DY380" i="1"/>
  <c r="DZ380" i="1"/>
  <c r="EA380" i="1"/>
  <c r="EB380" i="1"/>
  <c r="EC380" i="1"/>
  <c r="ED380" i="1"/>
  <c r="EE380" i="1"/>
  <c r="EF380" i="1"/>
  <c r="EG380" i="1"/>
  <c r="EH380" i="1"/>
  <c r="EI380" i="1"/>
  <c r="EJ380" i="1"/>
  <c r="EK380" i="1"/>
  <c r="EL380" i="1"/>
  <c r="EM380" i="1"/>
  <c r="EN380" i="1"/>
  <c r="EO380" i="1"/>
  <c r="EP380" i="1"/>
  <c r="EQ380" i="1"/>
  <c r="ER380" i="1"/>
  <c r="ES380" i="1"/>
  <c r="ET380" i="1"/>
  <c r="EU380" i="1"/>
  <c r="EV380" i="1"/>
  <c r="EW380" i="1"/>
  <c r="EX380" i="1"/>
  <c r="EY380" i="1"/>
  <c r="EZ380" i="1"/>
  <c r="FA380" i="1"/>
  <c r="FB380" i="1"/>
  <c r="FC380" i="1"/>
  <c r="FD380" i="1"/>
  <c r="FE380" i="1"/>
  <c r="FF380" i="1"/>
  <c r="FG380" i="1"/>
  <c r="FH380" i="1"/>
  <c r="FI380" i="1"/>
  <c r="FJ380" i="1"/>
  <c r="FK380" i="1"/>
  <c r="FL380" i="1"/>
  <c r="FM380" i="1"/>
  <c r="FN380" i="1"/>
  <c r="FO380" i="1"/>
  <c r="FP380" i="1"/>
  <c r="FQ380" i="1"/>
  <c r="FR380" i="1"/>
  <c r="FS380" i="1"/>
  <c r="FT380" i="1"/>
  <c r="FU380" i="1"/>
  <c r="FV380" i="1"/>
  <c r="FW380" i="1"/>
  <c r="FX380" i="1"/>
  <c r="FY380" i="1"/>
  <c r="FZ380" i="1"/>
  <c r="GA380" i="1"/>
  <c r="GB380" i="1"/>
  <c r="GC380" i="1"/>
  <c r="GD380" i="1"/>
  <c r="GE380" i="1"/>
  <c r="GF380" i="1"/>
  <c r="GG380" i="1"/>
  <c r="GH380" i="1"/>
  <c r="GI380" i="1"/>
  <c r="GJ380" i="1"/>
  <c r="GK380" i="1"/>
  <c r="GL380" i="1"/>
  <c r="GM380" i="1"/>
  <c r="GN380" i="1"/>
  <c r="GO380" i="1"/>
  <c r="GP380" i="1"/>
  <c r="GQ380" i="1"/>
  <c r="GR380" i="1"/>
  <c r="GS380" i="1"/>
  <c r="GT380" i="1"/>
  <c r="GU380" i="1"/>
  <c r="GV380" i="1"/>
  <c r="GW380" i="1"/>
  <c r="GX380" i="1"/>
  <c r="U382" i="1"/>
  <c r="V382" i="1"/>
  <c r="W382" i="1"/>
  <c r="AC382" i="1"/>
  <c r="AB382" i="1" s="1"/>
  <c r="AD382" i="1"/>
  <c r="AE382" i="1"/>
  <c r="AF382" i="1"/>
  <c r="AG382" i="1"/>
  <c r="CU382" i="1" s="1"/>
  <c r="T382" i="1" s="1"/>
  <c r="AG384" i="1" s="1"/>
  <c r="AH382" i="1"/>
  <c r="AI382" i="1"/>
  <c r="AJ382" i="1"/>
  <c r="CQ382" i="1"/>
  <c r="P382" i="1" s="1"/>
  <c r="CR382" i="1"/>
  <c r="Q382" i="1" s="1"/>
  <c r="AD384" i="1" s="1"/>
  <c r="CS382" i="1"/>
  <c r="R382" i="1" s="1"/>
  <c r="AE384" i="1" s="1"/>
  <c r="CT382" i="1"/>
  <c r="S382" i="1" s="1"/>
  <c r="CV382" i="1"/>
  <c r="CW382" i="1"/>
  <c r="CX382" i="1"/>
  <c r="FR382" i="1"/>
  <c r="GL382" i="1"/>
  <c r="BZ384" i="1" s="1"/>
  <c r="GO382" i="1"/>
  <c r="GP382" i="1"/>
  <c r="CD384" i="1" s="1"/>
  <c r="GV382" i="1"/>
  <c r="HC382" i="1" s="1"/>
  <c r="GX382" i="1" s="1"/>
  <c r="CJ384" i="1" s="1"/>
  <c r="B384" i="1"/>
  <c r="B380" i="1" s="1"/>
  <c r="C384" i="1"/>
  <c r="D384" i="1"/>
  <c r="D380" i="1" s="1"/>
  <c r="F384" i="1"/>
  <c r="F380" i="1" s="1"/>
  <c r="G384" i="1"/>
  <c r="G380" i="1" s="1"/>
  <c r="V384" i="1"/>
  <c r="V380" i="1" s="1"/>
  <c r="AH384" i="1"/>
  <c r="AH380" i="1" s="1"/>
  <c r="AI384" i="1"/>
  <c r="AI380" i="1" s="1"/>
  <c r="AJ384" i="1"/>
  <c r="AJ380" i="1" s="1"/>
  <c r="BX384" i="1"/>
  <c r="AO384" i="1" s="1"/>
  <c r="BY384" i="1"/>
  <c r="AP384" i="1" s="1"/>
  <c r="CC384" i="1"/>
  <c r="AT384" i="1" s="1"/>
  <c r="CK384" i="1"/>
  <c r="BB384" i="1" s="1"/>
  <c r="CL384" i="1"/>
  <c r="BC384" i="1" s="1"/>
  <c r="CM384" i="1"/>
  <c r="BD384" i="1" s="1"/>
  <c r="F407" i="1"/>
  <c r="D422" i="1"/>
  <c r="E424" i="1"/>
  <c r="Z424" i="1"/>
  <c r="AA424" i="1"/>
  <c r="AM424" i="1"/>
  <c r="AN424" i="1"/>
  <c r="BE424" i="1"/>
  <c r="BF424" i="1"/>
  <c r="BG424" i="1"/>
  <c r="BH424" i="1"/>
  <c r="BI424" i="1"/>
  <c r="BJ424" i="1"/>
  <c r="BK424" i="1"/>
  <c r="BL424" i="1"/>
  <c r="BM424" i="1"/>
  <c r="BN424" i="1"/>
  <c r="BO424" i="1"/>
  <c r="BP424" i="1"/>
  <c r="BQ424" i="1"/>
  <c r="BR424" i="1"/>
  <c r="BS424" i="1"/>
  <c r="BT424" i="1"/>
  <c r="BU424" i="1"/>
  <c r="BV424" i="1"/>
  <c r="BW424" i="1"/>
  <c r="CN424" i="1"/>
  <c r="CO424" i="1"/>
  <c r="CP424" i="1"/>
  <c r="CQ424" i="1"/>
  <c r="CR424" i="1"/>
  <c r="CS424" i="1"/>
  <c r="CT424" i="1"/>
  <c r="CU424" i="1"/>
  <c r="CV424" i="1"/>
  <c r="CW424" i="1"/>
  <c r="CX424" i="1"/>
  <c r="CY424" i="1"/>
  <c r="CZ424" i="1"/>
  <c r="DA424" i="1"/>
  <c r="DB424" i="1"/>
  <c r="DC424" i="1"/>
  <c r="DD424" i="1"/>
  <c r="DE424" i="1"/>
  <c r="DF424" i="1"/>
  <c r="DG424" i="1"/>
  <c r="DH424" i="1"/>
  <c r="DI424" i="1"/>
  <c r="DJ424" i="1"/>
  <c r="DK424" i="1"/>
  <c r="DL424" i="1"/>
  <c r="DM424" i="1"/>
  <c r="DN424" i="1"/>
  <c r="DO424" i="1"/>
  <c r="DP424" i="1"/>
  <c r="DQ424" i="1"/>
  <c r="DR424" i="1"/>
  <c r="DS424" i="1"/>
  <c r="DT424" i="1"/>
  <c r="DU424" i="1"/>
  <c r="DV424" i="1"/>
  <c r="DW424" i="1"/>
  <c r="DX424" i="1"/>
  <c r="DY424" i="1"/>
  <c r="DZ424" i="1"/>
  <c r="EA424" i="1"/>
  <c r="EB424" i="1"/>
  <c r="EC424" i="1"/>
  <c r="ED424" i="1"/>
  <c r="EE424" i="1"/>
  <c r="EF424" i="1"/>
  <c r="EG424" i="1"/>
  <c r="EH424" i="1"/>
  <c r="EI424" i="1"/>
  <c r="EJ424" i="1"/>
  <c r="EK424" i="1"/>
  <c r="EL424" i="1"/>
  <c r="EM424" i="1"/>
  <c r="EN424" i="1"/>
  <c r="EO424" i="1"/>
  <c r="EP424" i="1"/>
  <c r="EQ424" i="1"/>
  <c r="ER424" i="1"/>
  <c r="ES424" i="1"/>
  <c r="ET424" i="1"/>
  <c r="EU424" i="1"/>
  <c r="EV424" i="1"/>
  <c r="EW424" i="1"/>
  <c r="EX424" i="1"/>
  <c r="EY424" i="1"/>
  <c r="EZ424" i="1"/>
  <c r="FA424" i="1"/>
  <c r="FB424" i="1"/>
  <c r="FC424" i="1"/>
  <c r="FD424" i="1"/>
  <c r="FE424" i="1"/>
  <c r="FF424" i="1"/>
  <c r="FG424" i="1"/>
  <c r="FH424" i="1"/>
  <c r="FI424" i="1"/>
  <c r="FJ424" i="1"/>
  <c r="FK424" i="1"/>
  <c r="FL424" i="1"/>
  <c r="FM424" i="1"/>
  <c r="FN424" i="1"/>
  <c r="FO424" i="1"/>
  <c r="FP424" i="1"/>
  <c r="FQ424" i="1"/>
  <c r="FR424" i="1"/>
  <c r="FS424" i="1"/>
  <c r="FT424" i="1"/>
  <c r="FU424" i="1"/>
  <c r="FV424" i="1"/>
  <c r="FW424" i="1"/>
  <c r="FX424" i="1"/>
  <c r="FY424" i="1"/>
  <c r="FZ424" i="1"/>
  <c r="GA424" i="1"/>
  <c r="GB424" i="1"/>
  <c r="GC424" i="1"/>
  <c r="GD424" i="1"/>
  <c r="GE424" i="1"/>
  <c r="GF424" i="1"/>
  <c r="GG424" i="1"/>
  <c r="GH424" i="1"/>
  <c r="GI424" i="1"/>
  <c r="GJ424" i="1"/>
  <c r="GK424" i="1"/>
  <c r="GL424" i="1"/>
  <c r="GM424" i="1"/>
  <c r="GN424" i="1"/>
  <c r="GO424" i="1"/>
  <c r="GP424" i="1"/>
  <c r="GQ424" i="1"/>
  <c r="GR424" i="1"/>
  <c r="GS424" i="1"/>
  <c r="GT424" i="1"/>
  <c r="GU424" i="1"/>
  <c r="GV424" i="1"/>
  <c r="GW424" i="1"/>
  <c r="GX424" i="1"/>
  <c r="C426" i="1"/>
  <c r="D426" i="1"/>
  <c r="I426" i="1"/>
  <c r="K426" i="1"/>
  <c r="U426" i="1"/>
  <c r="V426" i="1"/>
  <c r="AC426" i="1"/>
  <c r="AE426" i="1"/>
  <c r="AD426" i="1" s="1"/>
  <c r="AF426" i="1"/>
  <c r="CT426" i="1" s="1"/>
  <c r="S426" i="1" s="1"/>
  <c r="AG426" i="1"/>
  <c r="AH426" i="1"/>
  <c r="AI426" i="1"/>
  <c r="AJ426" i="1"/>
  <c r="CR426" i="1"/>
  <c r="Q426" i="1" s="1"/>
  <c r="CS426" i="1"/>
  <c r="R426" i="1" s="1"/>
  <c r="CU426" i="1"/>
  <c r="T426" i="1" s="1"/>
  <c r="CV426" i="1"/>
  <c r="CW426" i="1"/>
  <c r="CX426" i="1"/>
  <c r="W426" i="1" s="1"/>
  <c r="FR426" i="1"/>
  <c r="GL426" i="1"/>
  <c r="GO426" i="1"/>
  <c r="GP426" i="1"/>
  <c r="GV426" i="1"/>
  <c r="HC426" i="1"/>
  <c r="GX426" i="1" s="1"/>
  <c r="C427" i="1"/>
  <c r="D427" i="1"/>
  <c r="I427" i="1"/>
  <c r="K427" i="1"/>
  <c r="Q427" i="1"/>
  <c r="R427" i="1"/>
  <c r="AC427" i="1"/>
  <c r="AE427" i="1"/>
  <c r="AD427" i="1" s="1"/>
  <c r="AB427" i="1" s="1"/>
  <c r="AF427" i="1"/>
  <c r="CT427" i="1" s="1"/>
  <c r="S427" i="1" s="1"/>
  <c r="AG427" i="1"/>
  <c r="CU427" i="1" s="1"/>
  <c r="T427" i="1" s="1"/>
  <c r="AH427" i="1"/>
  <c r="AI427" i="1"/>
  <c r="AJ427" i="1"/>
  <c r="CX427" i="1" s="1"/>
  <c r="W427" i="1" s="1"/>
  <c r="CQ427" i="1"/>
  <c r="P427" i="1" s="1"/>
  <c r="CP427" i="1" s="1"/>
  <c r="O427" i="1" s="1"/>
  <c r="CR427" i="1"/>
  <c r="CS427" i="1"/>
  <c r="CV427" i="1"/>
  <c r="U427" i="1" s="1"/>
  <c r="CW427" i="1"/>
  <c r="V427" i="1" s="1"/>
  <c r="FR427" i="1"/>
  <c r="GL427" i="1"/>
  <c r="GO427" i="1"/>
  <c r="GP427" i="1"/>
  <c r="GV427" i="1"/>
  <c r="HC427" i="1"/>
  <c r="GX427" i="1" s="1"/>
  <c r="I428" i="1"/>
  <c r="P428" i="1" s="1"/>
  <c r="CP428" i="1" s="1"/>
  <c r="O428" i="1" s="1"/>
  <c r="Q428" i="1"/>
  <c r="AC428" i="1"/>
  <c r="AB428" i="1" s="1"/>
  <c r="AE428" i="1"/>
  <c r="AD428" i="1" s="1"/>
  <c r="AF428" i="1"/>
  <c r="CT428" i="1" s="1"/>
  <c r="S428" i="1" s="1"/>
  <c r="AG428" i="1"/>
  <c r="AH428" i="1"/>
  <c r="AI428" i="1"/>
  <c r="CW428" i="1" s="1"/>
  <c r="V428" i="1" s="1"/>
  <c r="AJ428" i="1"/>
  <c r="CQ428" i="1"/>
  <c r="CR428" i="1"/>
  <c r="CS428" i="1"/>
  <c r="R428" i="1" s="1"/>
  <c r="CU428" i="1"/>
  <c r="T428" i="1" s="1"/>
  <c r="CV428" i="1"/>
  <c r="U428" i="1" s="1"/>
  <c r="CX428" i="1"/>
  <c r="W428" i="1" s="1"/>
  <c r="FR428" i="1"/>
  <c r="GL428" i="1"/>
  <c r="GO428" i="1"/>
  <c r="GP428" i="1"/>
  <c r="GV428" i="1"/>
  <c r="HC428" i="1"/>
  <c r="GX428" i="1" s="1"/>
  <c r="P429" i="1"/>
  <c r="CP429" i="1" s="1"/>
  <c r="O429" i="1" s="1"/>
  <c r="Q429" i="1"/>
  <c r="X429" i="1"/>
  <c r="Y429" i="1"/>
  <c r="AC429" i="1"/>
  <c r="AB429" i="1" s="1"/>
  <c r="AE429" i="1"/>
  <c r="AD429" i="1" s="1"/>
  <c r="AF429" i="1"/>
  <c r="CT429" i="1" s="1"/>
  <c r="S429" i="1" s="1"/>
  <c r="AG429" i="1"/>
  <c r="AH429" i="1"/>
  <c r="AI429" i="1"/>
  <c r="CW429" i="1" s="1"/>
  <c r="V429" i="1" s="1"/>
  <c r="AJ429" i="1"/>
  <c r="CQ429" i="1"/>
  <c r="CR429" i="1"/>
  <c r="CS429" i="1"/>
  <c r="R429" i="1" s="1"/>
  <c r="CU429" i="1"/>
  <c r="T429" i="1" s="1"/>
  <c r="CV429" i="1"/>
  <c r="U429" i="1" s="1"/>
  <c r="CX429" i="1"/>
  <c r="W429" i="1" s="1"/>
  <c r="CY429" i="1"/>
  <c r="CZ429" i="1"/>
  <c r="FR429" i="1"/>
  <c r="GL429" i="1"/>
  <c r="GO429" i="1"/>
  <c r="GP429" i="1"/>
  <c r="GV429" i="1"/>
  <c r="HC429" i="1"/>
  <c r="GX429" i="1" s="1"/>
  <c r="C430" i="1"/>
  <c r="D430" i="1"/>
  <c r="I430" i="1"/>
  <c r="K430" i="1"/>
  <c r="U430" i="1"/>
  <c r="AC430" i="1"/>
  <c r="AE430" i="1"/>
  <c r="AD430" i="1" s="1"/>
  <c r="AB430" i="1" s="1"/>
  <c r="AF430" i="1"/>
  <c r="AG430" i="1"/>
  <c r="AH430" i="1"/>
  <c r="AI430" i="1"/>
  <c r="AJ430" i="1"/>
  <c r="CX430" i="1" s="1"/>
  <c r="W430" i="1" s="1"/>
  <c r="CQ430" i="1"/>
  <c r="P430" i="1" s="1"/>
  <c r="CR430" i="1"/>
  <c r="Q430" i="1" s="1"/>
  <c r="CT430" i="1"/>
  <c r="S430" i="1" s="1"/>
  <c r="CU430" i="1"/>
  <c r="CV430" i="1"/>
  <c r="CW430" i="1"/>
  <c r="V430" i="1" s="1"/>
  <c r="FR430" i="1"/>
  <c r="GL430" i="1"/>
  <c r="GO430" i="1"/>
  <c r="GP430" i="1"/>
  <c r="GV430" i="1"/>
  <c r="HC430" i="1" s="1"/>
  <c r="GX430" i="1" s="1"/>
  <c r="C431" i="1"/>
  <c r="D431" i="1"/>
  <c r="R431" i="1"/>
  <c r="S431" i="1"/>
  <c r="CY431" i="1" s="1"/>
  <c r="X431" i="1" s="1"/>
  <c r="AC431" i="1"/>
  <c r="AB431" i="1" s="1"/>
  <c r="AE431" i="1"/>
  <c r="AD431" i="1" s="1"/>
  <c r="AF431" i="1"/>
  <c r="AG431" i="1"/>
  <c r="AH431" i="1"/>
  <c r="CV431" i="1" s="1"/>
  <c r="U431" i="1" s="1"/>
  <c r="AI431" i="1"/>
  <c r="AJ431" i="1"/>
  <c r="CR431" i="1"/>
  <c r="Q431" i="1" s="1"/>
  <c r="CS431" i="1"/>
  <c r="CT431" i="1"/>
  <c r="CU431" i="1"/>
  <c r="T431" i="1" s="1"/>
  <c r="CW431" i="1"/>
  <c r="V431" i="1" s="1"/>
  <c r="CX431" i="1"/>
  <c r="W431" i="1" s="1"/>
  <c r="FR431" i="1"/>
  <c r="GL431" i="1"/>
  <c r="GO431" i="1"/>
  <c r="GP431" i="1"/>
  <c r="CD438" i="1" s="1"/>
  <c r="GV431" i="1"/>
  <c r="HC431" i="1"/>
  <c r="GX431" i="1" s="1"/>
  <c r="C432" i="1"/>
  <c r="D432" i="1"/>
  <c r="I432" i="1"/>
  <c r="K432" i="1"/>
  <c r="V432" i="1"/>
  <c r="W432" i="1"/>
  <c r="AC432" i="1"/>
  <c r="AB432" i="1" s="1"/>
  <c r="AD432" i="1"/>
  <c r="AE432" i="1"/>
  <c r="AF432" i="1"/>
  <c r="AG432" i="1"/>
  <c r="CU432" i="1" s="1"/>
  <c r="T432" i="1" s="1"/>
  <c r="AH432" i="1"/>
  <c r="AI432" i="1"/>
  <c r="AJ432" i="1"/>
  <c r="CR432" i="1"/>
  <c r="Q432" i="1" s="1"/>
  <c r="CS432" i="1"/>
  <c r="R432" i="1" s="1"/>
  <c r="CT432" i="1"/>
  <c r="S432" i="1" s="1"/>
  <c r="CV432" i="1"/>
  <c r="U432" i="1" s="1"/>
  <c r="CW432" i="1"/>
  <c r="CX432" i="1"/>
  <c r="FR432" i="1"/>
  <c r="GL432" i="1"/>
  <c r="GO432" i="1"/>
  <c r="GP432" i="1"/>
  <c r="GV432" i="1"/>
  <c r="HC432" i="1" s="1"/>
  <c r="GX432" i="1" s="1"/>
  <c r="V433" i="1"/>
  <c r="W433" i="1"/>
  <c r="AC433" i="1"/>
  <c r="AB433" i="1" s="1"/>
  <c r="AD433" i="1"/>
  <c r="AE433" i="1"/>
  <c r="AF433" i="1"/>
  <c r="AG433" i="1"/>
  <c r="CU433" i="1" s="1"/>
  <c r="T433" i="1" s="1"/>
  <c r="AH433" i="1"/>
  <c r="AI433" i="1"/>
  <c r="AJ433" i="1"/>
  <c r="CR433" i="1"/>
  <c r="Q433" i="1" s="1"/>
  <c r="CS433" i="1"/>
  <c r="R433" i="1" s="1"/>
  <c r="CT433" i="1"/>
  <c r="S433" i="1" s="1"/>
  <c r="CV433" i="1"/>
  <c r="U433" i="1" s="1"/>
  <c r="CW433" i="1"/>
  <c r="CX433" i="1"/>
  <c r="CY433" i="1"/>
  <c r="X433" i="1" s="1"/>
  <c r="CZ433" i="1"/>
  <c r="Y433" i="1" s="1"/>
  <c r="FR433" i="1"/>
  <c r="GL433" i="1"/>
  <c r="BZ438" i="1" s="1"/>
  <c r="GO433" i="1"/>
  <c r="GP433" i="1"/>
  <c r="GV433" i="1"/>
  <c r="HC433" i="1" s="1"/>
  <c r="GX433" i="1" s="1"/>
  <c r="C434" i="1"/>
  <c r="D434" i="1"/>
  <c r="T434" i="1"/>
  <c r="U434" i="1"/>
  <c r="AC434" i="1"/>
  <c r="AE434" i="1"/>
  <c r="AD434" i="1" s="1"/>
  <c r="AB434" i="1" s="1"/>
  <c r="AF434" i="1"/>
  <c r="AG434" i="1"/>
  <c r="AH434" i="1"/>
  <c r="AI434" i="1"/>
  <c r="AJ434" i="1"/>
  <c r="CX434" i="1" s="1"/>
  <c r="W434" i="1" s="1"/>
  <c r="CQ434" i="1"/>
  <c r="P434" i="1" s="1"/>
  <c r="CR434" i="1"/>
  <c r="Q434" i="1" s="1"/>
  <c r="CT434" i="1"/>
  <c r="S434" i="1" s="1"/>
  <c r="CU434" i="1"/>
  <c r="CV434" i="1"/>
  <c r="CW434" i="1"/>
  <c r="V434" i="1" s="1"/>
  <c r="FR434" i="1"/>
  <c r="GL434" i="1"/>
  <c r="GO434" i="1"/>
  <c r="GP434" i="1"/>
  <c r="GV434" i="1"/>
  <c r="HC434" i="1" s="1"/>
  <c r="GX434" i="1" s="1"/>
  <c r="C435" i="1"/>
  <c r="D435" i="1"/>
  <c r="I435" i="1"/>
  <c r="K435" i="1"/>
  <c r="Q435" i="1"/>
  <c r="AC435" i="1"/>
  <c r="AE435" i="1"/>
  <c r="AD435" i="1" s="1"/>
  <c r="AF435" i="1"/>
  <c r="CT435" i="1" s="1"/>
  <c r="S435" i="1" s="1"/>
  <c r="AG435" i="1"/>
  <c r="AH435" i="1"/>
  <c r="AI435" i="1"/>
  <c r="CW435" i="1" s="1"/>
  <c r="V435" i="1" s="1"/>
  <c r="AJ435" i="1"/>
  <c r="CQ435" i="1"/>
  <c r="CR435" i="1"/>
  <c r="CS435" i="1"/>
  <c r="R435" i="1" s="1"/>
  <c r="CU435" i="1"/>
  <c r="T435" i="1" s="1"/>
  <c r="CV435" i="1"/>
  <c r="U435" i="1" s="1"/>
  <c r="CX435" i="1"/>
  <c r="W435" i="1" s="1"/>
  <c r="FR435" i="1"/>
  <c r="GL435" i="1"/>
  <c r="GO435" i="1"/>
  <c r="GP435" i="1"/>
  <c r="GV435" i="1"/>
  <c r="GX435" i="1"/>
  <c r="HC435" i="1"/>
  <c r="C436" i="1"/>
  <c r="D436" i="1"/>
  <c r="I436" i="1"/>
  <c r="K436" i="1"/>
  <c r="U436" i="1"/>
  <c r="AC436" i="1"/>
  <c r="AE436" i="1"/>
  <c r="AD436" i="1" s="1"/>
  <c r="AB436" i="1" s="1"/>
  <c r="AF436" i="1"/>
  <c r="AG436" i="1"/>
  <c r="AH436" i="1"/>
  <c r="AI436" i="1"/>
  <c r="CW436" i="1" s="1"/>
  <c r="V436" i="1" s="1"/>
  <c r="AJ436" i="1"/>
  <c r="CX436" i="1" s="1"/>
  <c r="W436" i="1" s="1"/>
  <c r="CQ436" i="1"/>
  <c r="P436" i="1" s="1"/>
  <c r="CR436" i="1"/>
  <c r="Q436" i="1" s="1"/>
  <c r="CT436" i="1"/>
  <c r="S436" i="1" s="1"/>
  <c r="CU436" i="1"/>
  <c r="CV436" i="1"/>
  <c r="FR436" i="1"/>
  <c r="GL436" i="1"/>
  <c r="GO436" i="1"/>
  <c r="CC438" i="1" s="1"/>
  <c r="GP436" i="1"/>
  <c r="GV436" i="1"/>
  <c r="HC436" i="1" s="1"/>
  <c r="GX436" i="1" s="1"/>
  <c r="B438" i="1"/>
  <c r="B424" i="1" s="1"/>
  <c r="C438" i="1"/>
  <c r="C424" i="1" s="1"/>
  <c r="D438" i="1"/>
  <c r="D424" i="1" s="1"/>
  <c r="F438" i="1"/>
  <c r="F424" i="1" s="1"/>
  <c r="G438" i="1"/>
  <c r="G424" i="1" s="1"/>
  <c r="BX438" i="1"/>
  <c r="BX424" i="1" s="1"/>
  <c r="BY438" i="1"/>
  <c r="BY424" i="1" s="1"/>
  <c r="CK438" i="1"/>
  <c r="CK424" i="1" s="1"/>
  <c r="CL438" i="1"/>
  <c r="CL424" i="1" s="1"/>
  <c r="CM438" i="1"/>
  <c r="CM424" i="1" s="1"/>
  <c r="D476" i="1"/>
  <c r="E478" i="1"/>
  <c r="Z478" i="1"/>
  <c r="AA478" i="1"/>
  <c r="AM478" i="1"/>
  <c r="AN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BV478" i="1"/>
  <c r="BW478" i="1"/>
  <c r="CN478" i="1"/>
  <c r="CO478" i="1"/>
  <c r="CP478" i="1"/>
  <c r="CQ478" i="1"/>
  <c r="CR478" i="1"/>
  <c r="CS478" i="1"/>
  <c r="CT478" i="1"/>
  <c r="CU478" i="1"/>
  <c r="CV478" i="1"/>
  <c r="CW478" i="1"/>
  <c r="CX478" i="1"/>
  <c r="CY478" i="1"/>
  <c r="CZ478" i="1"/>
  <c r="DA478" i="1"/>
  <c r="DB478" i="1"/>
  <c r="DC478" i="1"/>
  <c r="DD478" i="1"/>
  <c r="DE478" i="1"/>
  <c r="DF478" i="1"/>
  <c r="DG478" i="1"/>
  <c r="DH478" i="1"/>
  <c r="DI478" i="1"/>
  <c r="DJ478" i="1"/>
  <c r="DK478" i="1"/>
  <c r="DL478" i="1"/>
  <c r="DM478" i="1"/>
  <c r="DN478" i="1"/>
  <c r="DO478" i="1"/>
  <c r="DP478" i="1"/>
  <c r="DQ478" i="1"/>
  <c r="DR478" i="1"/>
  <c r="DS478" i="1"/>
  <c r="DT478" i="1"/>
  <c r="DU478" i="1"/>
  <c r="DV478" i="1"/>
  <c r="DW478" i="1"/>
  <c r="DX478" i="1"/>
  <c r="DY478" i="1"/>
  <c r="DZ478" i="1"/>
  <c r="EA478" i="1"/>
  <c r="EB478" i="1"/>
  <c r="EC478" i="1"/>
  <c r="ED478" i="1"/>
  <c r="EE478" i="1"/>
  <c r="EF478" i="1"/>
  <c r="EG478" i="1"/>
  <c r="EH478" i="1"/>
  <c r="EI478" i="1"/>
  <c r="EJ478" i="1"/>
  <c r="EK478" i="1"/>
  <c r="EL478" i="1"/>
  <c r="EM478" i="1"/>
  <c r="EN478" i="1"/>
  <c r="EO478" i="1"/>
  <c r="EP478" i="1"/>
  <c r="EQ478" i="1"/>
  <c r="ER478" i="1"/>
  <c r="ES478" i="1"/>
  <c r="ET478" i="1"/>
  <c r="EU478" i="1"/>
  <c r="EV478" i="1"/>
  <c r="EW478" i="1"/>
  <c r="EX478" i="1"/>
  <c r="EY478" i="1"/>
  <c r="EZ478" i="1"/>
  <c r="FA478" i="1"/>
  <c r="FB478" i="1"/>
  <c r="FC478" i="1"/>
  <c r="FD478" i="1"/>
  <c r="FE478" i="1"/>
  <c r="FF478" i="1"/>
  <c r="FG478" i="1"/>
  <c r="FH478" i="1"/>
  <c r="FI478" i="1"/>
  <c r="FJ478" i="1"/>
  <c r="FK478" i="1"/>
  <c r="FL478" i="1"/>
  <c r="FM478" i="1"/>
  <c r="FN478" i="1"/>
  <c r="FO478" i="1"/>
  <c r="FP478" i="1"/>
  <c r="FQ478" i="1"/>
  <c r="FR478" i="1"/>
  <c r="FS478" i="1"/>
  <c r="FT478" i="1"/>
  <c r="FU478" i="1"/>
  <c r="FV478" i="1"/>
  <c r="FW478" i="1"/>
  <c r="FX478" i="1"/>
  <c r="FY478" i="1"/>
  <c r="FZ478" i="1"/>
  <c r="GA478" i="1"/>
  <c r="GB478" i="1"/>
  <c r="GC478" i="1"/>
  <c r="GD478" i="1"/>
  <c r="GE478" i="1"/>
  <c r="GF478" i="1"/>
  <c r="GG478" i="1"/>
  <c r="GH478" i="1"/>
  <c r="GI478" i="1"/>
  <c r="GJ478" i="1"/>
  <c r="GK478" i="1"/>
  <c r="GL478" i="1"/>
  <c r="GM478" i="1"/>
  <c r="GN478" i="1"/>
  <c r="GO478" i="1"/>
  <c r="GP478" i="1"/>
  <c r="GQ478" i="1"/>
  <c r="GR478" i="1"/>
  <c r="GS478" i="1"/>
  <c r="GT478" i="1"/>
  <c r="GU478" i="1"/>
  <c r="GV478" i="1"/>
  <c r="GW478" i="1"/>
  <c r="GX478" i="1"/>
  <c r="C480" i="1"/>
  <c r="D480" i="1"/>
  <c r="I480" i="1"/>
  <c r="K480" i="1"/>
  <c r="Q480" i="1"/>
  <c r="S480" i="1"/>
  <c r="T480" i="1"/>
  <c r="AC480" i="1"/>
  <c r="AB480" i="1" s="1"/>
  <c r="AD480" i="1"/>
  <c r="AE480" i="1"/>
  <c r="AF480" i="1"/>
  <c r="AG480" i="1"/>
  <c r="AH480" i="1"/>
  <c r="CV480" i="1" s="1"/>
  <c r="U480" i="1" s="1"/>
  <c r="AI480" i="1"/>
  <c r="CW480" i="1" s="1"/>
  <c r="V480" i="1" s="1"/>
  <c r="AJ480" i="1"/>
  <c r="CQ480" i="1"/>
  <c r="P480" i="1" s="1"/>
  <c r="CR480" i="1"/>
  <c r="CS480" i="1"/>
  <c r="R480" i="1" s="1"/>
  <c r="CY480" i="1" s="1"/>
  <c r="X480" i="1" s="1"/>
  <c r="CT480" i="1"/>
  <c r="CU480" i="1"/>
  <c r="CX480" i="1"/>
  <c r="W480" i="1" s="1"/>
  <c r="FR480" i="1"/>
  <c r="GL480" i="1"/>
  <c r="GO480" i="1"/>
  <c r="GP480" i="1"/>
  <c r="GV480" i="1"/>
  <c r="HC480" i="1" s="1"/>
  <c r="GX480" i="1" s="1"/>
  <c r="C481" i="1"/>
  <c r="D481" i="1"/>
  <c r="I481" i="1"/>
  <c r="K481" i="1"/>
  <c r="P481" i="1"/>
  <c r="AC481" i="1"/>
  <c r="AE481" i="1"/>
  <c r="AD481" i="1" s="1"/>
  <c r="AF481" i="1"/>
  <c r="AG481" i="1"/>
  <c r="AH481" i="1"/>
  <c r="CV481" i="1" s="1"/>
  <c r="U481" i="1" s="1"/>
  <c r="AI481" i="1"/>
  <c r="AJ481" i="1"/>
  <c r="CQ481" i="1"/>
  <c r="CR481" i="1"/>
  <c r="Q481" i="1" s="1"/>
  <c r="CT481" i="1"/>
  <c r="S481" i="1" s="1"/>
  <c r="CU481" i="1"/>
  <c r="T481" i="1" s="1"/>
  <c r="CW481" i="1"/>
  <c r="V481" i="1" s="1"/>
  <c r="CX481" i="1"/>
  <c r="FR481" i="1"/>
  <c r="GL481" i="1"/>
  <c r="GO481" i="1"/>
  <c r="GP481" i="1"/>
  <c r="GV481" i="1"/>
  <c r="HC481" i="1" s="1"/>
  <c r="GX481" i="1" s="1"/>
  <c r="AC482" i="1"/>
  <c r="AB482" i="1" s="1"/>
  <c r="AD482" i="1"/>
  <c r="AE482" i="1"/>
  <c r="AF482" i="1"/>
  <c r="AG482" i="1"/>
  <c r="CU482" i="1" s="1"/>
  <c r="AH482" i="1"/>
  <c r="AI482" i="1"/>
  <c r="AJ482" i="1"/>
  <c r="CQ482" i="1"/>
  <c r="CR482" i="1"/>
  <c r="CS482" i="1"/>
  <c r="CT482" i="1"/>
  <c r="CV482" i="1"/>
  <c r="CW482" i="1"/>
  <c r="CX482" i="1"/>
  <c r="FR482" i="1"/>
  <c r="GL482" i="1"/>
  <c r="GO482" i="1"/>
  <c r="GP482" i="1"/>
  <c r="GV482" i="1"/>
  <c r="HC482" i="1" s="1"/>
  <c r="V483" i="1"/>
  <c r="AC483" i="1"/>
  <c r="AD483" i="1"/>
  <c r="AE483" i="1"/>
  <c r="AF483" i="1"/>
  <c r="AG483" i="1"/>
  <c r="CU483" i="1" s="1"/>
  <c r="T483" i="1" s="1"/>
  <c r="AH483" i="1"/>
  <c r="AI483" i="1"/>
  <c r="AJ483" i="1"/>
  <c r="CQ483" i="1"/>
  <c r="P483" i="1" s="1"/>
  <c r="CR483" i="1"/>
  <c r="Q483" i="1" s="1"/>
  <c r="CS483" i="1"/>
  <c r="R483" i="1" s="1"/>
  <c r="CT483" i="1"/>
  <c r="S483" i="1" s="1"/>
  <c r="CV483" i="1"/>
  <c r="U483" i="1" s="1"/>
  <c r="CW483" i="1"/>
  <c r="CX483" i="1"/>
  <c r="W483" i="1" s="1"/>
  <c r="CY483" i="1"/>
  <c r="X483" i="1" s="1"/>
  <c r="CZ483" i="1"/>
  <c r="Y483" i="1" s="1"/>
  <c r="FR483" i="1"/>
  <c r="GL483" i="1"/>
  <c r="GO483" i="1"/>
  <c r="GP483" i="1"/>
  <c r="GV483" i="1"/>
  <c r="HC483" i="1" s="1"/>
  <c r="GX483" i="1" s="1"/>
  <c r="C484" i="1"/>
  <c r="D484" i="1"/>
  <c r="I484" i="1"/>
  <c r="K484" i="1"/>
  <c r="R484" i="1"/>
  <c r="S484" i="1"/>
  <c r="W484" i="1"/>
  <c r="AC484" i="1"/>
  <c r="AE484" i="1"/>
  <c r="AD484" i="1" s="1"/>
  <c r="AF484" i="1"/>
  <c r="AG484" i="1"/>
  <c r="AH484" i="1"/>
  <c r="CV484" i="1" s="1"/>
  <c r="U484" i="1" s="1"/>
  <c r="AI484" i="1"/>
  <c r="AJ484" i="1"/>
  <c r="CR484" i="1"/>
  <c r="Q484" i="1" s="1"/>
  <c r="CS484" i="1"/>
  <c r="CT484" i="1"/>
  <c r="CU484" i="1"/>
  <c r="T484" i="1" s="1"/>
  <c r="CW484" i="1"/>
  <c r="V484" i="1" s="1"/>
  <c r="CX484" i="1"/>
  <c r="FR484" i="1"/>
  <c r="GL484" i="1"/>
  <c r="GO484" i="1"/>
  <c r="GP484" i="1"/>
  <c r="GV484" i="1"/>
  <c r="HC484" i="1"/>
  <c r="GX484" i="1" s="1"/>
  <c r="I485" i="1"/>
  <c r="Q485" i="1" s="1"/>
  <c r="R485" i="1"/>
  <c r="AC485" i="1"/>
  <c r="AE485" i="1"/>
  <c r="AD485" i="1" s="1"/>
  <c r="AF485" i="1"/>
  <c r="AB485" i="1" s="1"/>
  <c r="AG485" i="1"/>
  <c r="CU485" i="1" s="1"/>
  <c r="T485" i="1" s="1"/>
  <c r="AH485" i="1"/>
  <c r="AI485" i="1"/>
  <c r="AJ485" i="1"/>
  <c r="CX485" i="1" s="1"/>
  <c r="W485" i="1" s="1"/>
  <c r="CQ485" i="1"/>
  <c r="CR485" i="1"/>
  <c r="CS485" i="1"/>
  <c r="CT485" i="1"/>
  <c r="S485" i="1" s="1"/>
  <c r="CV485" i="1"/>
  <c r="U485" i="1" s="1"/>
  <c r="CW485" i="1"/>
  <c r="V485" i="1" s="1"/>
  <c r="FR485" i="1"/>
  <c r="GL485" i="1"/>
  <c r="GO485" i="1"/>
  <c r="GP485" i="1"/>
  <c r="GV485" i="1"/>
  <c r="HC485" i="1"/>
  <c r="GX485" i="1" s="1"/>
  <c r="I486" i="1"/>
  <c r="P486" i="1" s="1"/>
  <c r="AC486" i="1"/>
  <c r="AE486" i="1"/>
  <c r="AD486" i="1" s="1"/>
  <c r="AF486" i="1"/>
  <c r="CT486" i="1" s="1"/>
  <c r="AG486" i="1"/>
  <c r="AH486" i="1"/>
  <c r="AI486" i="1"/>
  <c r="CW486" i="1" s="1"/>
  <c r="V486" i="1" s="1"/>
  <c r="AJ486" i="1"/>
  <c r="CQ486" i="1"/>
  <c r="CR486" i="1"/>
  <c r="CS486" i="1"/>
  <c r="CU486" i="1"/>
  <c r="CV486" i="1"/>
  <c r="U486" i="1" s="1"/>
  <c r="CX486" i="1"/>
  <c r="W486" i="1" s="1"/>
  <c r="FR486" i="1"/>
  <c r="GL486" i="1"/>
  <c r="GO486" i="1"/>
  <c r="GP486" i="1"/>
  <c r="GV486" i="1"/>
  <c r="GX486" i="1"/>
  <c r="HC486" i="1"/>
  <c r="U487" i="1"/>
  <c r="AC487" i="1"/>
  <c r="AE487" i="1"/>
  <c r="AD487" i="1" s="1"/>
  <c r="AF487" i="1"/>
  <c r="CT487" i="1" s="1"/>
  <c r="S487" i="1" s="1"/>
  <c r="AG487" i="1"/>
  <c r="AH487" i="1"/>
  <c r="AI487" i="1"/>
  <c r="CW487" i="1" s="1"/>
  <c r="V487" i="1" s="1"/>
  <c r="AJ487" i="1"/>
  <c r="CQ487" i="1"/>
  <c r="P487" i="1" s="1"/>
  <c r="CS487" i="1"/>
  <c r="R487" i="1" s="1"/>
  <c r="CU487" i="1"/>
  <c r="T487" i="1" s="1"/>
  <c r="CV487" i="1"/>
  <c r="CX487" i="1"/>
  <c r="W487" i="1" s="1"/>
  <c r="CY487" i="1"/>
  <c r="X487" i="1" s="1"/>
  <c r="CZ487" i="1"/>
  <c r="Y487" i="1" s="1"/>
  <c r="FR487" i="1"/>
  <c r="GL487" i="1"/>
  <c r="GO487" i="1"/>
  <c r="GP487" i="1"/>
  <c r="GV487" i="1"/>
  <c r="GX487" i="1"/>
  <c r="HC487" i="1"/>
  <c r="Q488" i="1"/>
  <c r="U488" i="1"/>
  <c r="V488" i="1"/>
  <c r="AC488" i="1"/>
  <c r="AE488" i="1"/>
  <c r="AD488" i="1" s="1"/>
  <c r="AF488" i="1"/>
  <c r="CT488" i="1" s="1"/>
  <c r="S488" i="1" s="1"/>
  <c r="AG488" i="1"/>
  <c r="AH488" i="1"/>
  <c r="AI488" i="1"/>
  <c r="CW488" i="1" s="1"/>
  <c r="AJ488" i="1"/>
  <c r="CQ488" i="1"/>
  <c r="P488" i="1" s="1"/>
  <c r="CP488" i="1" s="1"/>
  <c r="O488" i="1" s="1"/>
  <c r="CR488" i="1"/>
  <c r="CS488" i="1"/>
  <c r="R488" i="1" s="1"/>
  <c r="CU488" i="1"/>
  <c r="T488" i="1" s="1"/>
  <c r="CV488" i="1"/>
  <c r="CX488" i="1"/>
  <c r="W488" i="1" s="1"/>
  <c r="CY488" i="1"/>
  <c r="X488" i="1" s="1"/>
  <c r="CZ488" i="1"/>
  <c r="Y488" i="1" s="1"/>
  <c r="FR488" i="1"/>
  <c r="GL488" i="1"/>
  <c r="GO488" i="1"/>
  <c r="GP488" i="1"/>
  <c r="GV488" i="1"/>
  <c r="HC488" i="1"/>
  <c r="GX488" i="1" s="1"/>
  <c r="C489" i="1"/>
  <c r="D489" i="1"/>
  <c r="AC489" i="1"/>
  <c r="AD489" i="1"/>
  <c r="AE489" i="1"/>
  <c r="AF489" i="1"/>
  <c r="AG489" i="1"/>
  <c r="CU489" i="1" s="1"/>
  <c r="T489" i="1" s="1"/>
  <c r="AH489" i="1"/>
  <c r="AI489" i="1"/>
  <c r="AJ489" i="1"/>
  <c r="CQ489" i="1"/>
  <c r="P489" i="1" s="1"/>
  <c r="CR489" i="1"/>
  <c r="Q489" i="1" s="1"/>
  <c r="CS489" i="1"/>
  <c r="R489" i="1" s="1"/>
  <c r="CT489" i="1"/>
  <c r="S489" i="1" s="1"/>
  <c r="CV489" i="1"/>
  <c r="U489" i="1" s="1"/>
  <c r="CW489" i="1"/>
  <c r="V489" i="1" s="1"/>
  <c r="CX489" i="1"/>
  <c r="W489" i="1" s="1"/>
  <c r="FR489" i="1"/>
  <c r="GL489" i="1"/>
  <c r="GO489" i="1"/>
  <c r="GP489" i="1"/>
  <c r="GV489" i="1"/>
  <c r="HC489" i="1" s="1"/>
  <c r="GX489" i="1" s="1"/>
  <c r="C490" i="1"/>
  <c r="D490" i="1"/>
  <c r="I490" i="1"/>
  <c r="K490" i="1"/>
  <c r="P490" i="1"/>
  <c r="AB490" i="1"/>
  <c r="AC490" i="1"/>
  <c r="CQ490" i="1" s="1"/>
  <c r="AE490" i="1"/>
  <c r="AD490" i="1" s="1"/>
  <c r="AF490" i="1"/>
  <c r="AG490" i="1"/>
  <c r="AH490" i="1"/>
  <c r="CV490" i="1" s="1"/>
  <c r="U490" i="1" s="1"/>
  <c r="AI490" i="1"/>
  <c r="AJ490" i="1"/>
  <c r="CX490" i="1" s="1"/>
  <c r="W490" i="1" s="1"/>
  <c r="CR490" i="1"/>
  <c r="Q490" i="1" s="1"/>
  <c r="CS490" i="1"/>
  <c r="R490" i="1" s="1"/>
  <c r="CT490" i="1"/>
  <c r="S490" i="1" s="1"/>
  <c r="CU490" i="1"/>
  <c r="T490" i="1" s="1"/>
  <c r="CW490" i="1"/>
  <c r="V490" i="1" s="1"/>
  <c r="FR490" i="1"/>
  <c r="GL490" i="1"/>
  <c r="GO490" i="1"/>
  <c r="GP490" i="1"/>
  <c r="GV490" i="1"/>
  <c r="HC490" i="1"/>
  <c r="GX490" i="1" s="1"/>
  <c r="C491" i="1"/>
  <c r="D491" i="1"/>
  <c r="I491" i="1"/>
  <c r="K491" i="1"/>
  <c r="Q491" i="1"/>
  <c r="R491" i="1"/>
  <c r="S491" i="1"/>
  <c r="CY491" i="1" s="1"/>
  <c r="X491" i="1" s="1"/>
  <c r="U491" i="1"/>
  <c r="V491" i="1"/>
  <c r="AC491" i="1"/>
  <c r="AB491" i="1" s="1"/>
  <c r="AD491" i="1"/>
  <c r="AE491" i="1"/>
  <c r="AF491" i="1"/>
  <c r="AG491" i="1"/>
  <c r="CU491" i="1" s="1"/>
  <c r="T491" i="1" s="1"/>
  <c r="AH491" i="1"/>
  <c r="AI491" i="1"/>
  <c r="AJ491" i="1"/>
  <c r="CQ491" i="1"/>
  <c r="P491" i="1" s="1"/>
  <c r="CP491" i="1" s="1"/>
  <c r="O491" i="1" s="1"/>
  <c r="GM491" i="1" s="1"/>
  <c r="GN491" i="1" s="1"/>
  <c r="CR491" i="1"/>
  <c r="CS491" i="1"/>
  <c r="CT491" i="1"/>
  <c r="CV491" i="1"/>
  <c r="CW491" i="1"/>
  <c r="CX491" i="1"/>
  <c r="W491" i="1" s="1"/>
  <c r="CZ491" i="1"/>
  <c r="Y491" i="1" s="1"/>
  <c r="FR491" i="1"/>
  <c r="GL491" i="1"/>
  <c r="GO491" i="1"/>
  <c r="GP491" i="1"/>
  <c r="GV491" i="1"/>
  <c r="HC491" i="1"/>
  <c r="GX491" i="1" s="1"/>
  <c r="C492" i="1"/>
  <c r="D492" i="1"/>
  <c r="I492" i="1"/>
  <c r="K492" i="1"/>
  <c r="R492" i="1"/>
  <c r="V492" i="1"/>
  <c r="AC492" i="1"/>
  <c r="CQ492" i="1" s="1"/>
  <c r="P492" i="1" s="1"/>
  <c r="AE492" i="1"/>
  <c r="AD492" i="1" s="1"/>
  <c r="AF492" i="1"/>
  <c r="AG492" i="1"/>
  <c r="AH492" i="1"/>
  <c r="AI492" i="1"/>
  <c r="AJ492" i="1"/>
  <c r="CR492" i="1"/>
  <c r="Q492" i="1" s="1"/>
  <c r="CS492" i="1"/>
  <c r="CT492" i="1"/>
  <c r="S492" i="1" s="1"/>
  <c r="CU492" i="1"/>
  <c r="T492" i="1" s="1"/>
  <c r="CV492" i="1"/>
  <c r="CW492" i="1"/>
  <c r="CX492" i="1"/>
  <c r="W492" i="1" s="1"/>
  <c r="FR492" i="1"/>
  <c r="GL492" i="1"/>
  <c r="GO492" i="1"/>
  <c r="GP492" i="1"/>
  <c r="GV492" i="1"/>
  <c r="HC492" i="1"/>
  <c r="GX492" i="1" s="1"/>
  <c r="C493" i="1"/>
  <c r="D493" i="1"/>
  <c r="I493" i="1"/>
  <c r="K493" i="1"/>
  <c r="R493" i="1"/>
  <c r="S493" i="1"/>
  <c r="CY493" i="1" s="1"/>
  <c r="X493" i="1" s="1"/>
  <c r="V493" i="1"/>
  <c r="AC493" i="1"/>
  <c r="AB493" i="1" s="1"/>
  <c r="AD493" i="1"/>
  <c r="AE493" i="1"/>
  <c r="AF493" i="1"/>
  <c r="AG493" i="1"/>
  <c r="CU493" i="1" s="1"/>
  <c r="T493" i="1" s="1"/>
  <c r="AH493" i="1"/>
  <c r="AI493" i="1"/>
  <c r="AJ493" i="1"/>
  <c r="CQ493" i="1"/>
  <c r="P493" i="1" s="1"/>
  <c r="CR493" i="1"/>
  <c r="Q493" i="1" s="1"/>
  <c r="CS493" i="1"/>
  <c r="CT493" i="1"/>
  <c r="CV493" i="1"/>
  <c r="CW493" i="1"/>
  <c r="CX493" i="1"/>
  <c r="W493" i="1" s="1"/>
  <c r="CZ493" i="1"/>
  <c r="Y493" i="1" s="1"/>
  <c r="FR493" i="1"/>
  <c r="GL493" i="1"/>
  <c r="GO493" i="1"/>
  <c r="GP493" i="1"/>
  <c r="GV493" i="1"/>
  <c r="HC493" i="1"/>
  <c r="GX493" i="1" s="1"/>
  <c r="B495" i="1"/>
  <c r="B478" i="1" s="1"/>
  <c r="C495" i="1"/>
  <c r="C478" i="1" s="1"/>
  <c r="D495" i="1"/>
  <c r="D478" i="1" s="1"/>
  <c r="F495" i="1"/>
  <c r="F478" i="1" s="1"/>
  <c r="G495" i="1"/>
  <c r="G478" i="1" s="1"/>
  <c r="AQ495" i="1"/>
  <c r="AQ478" i="1" s="1"/>
  <c r="BX495" i="1"/>
  <c r="BX478" i="1" s="1"/>
  <c r="BY495" i="1"/>
  <c r="BY478" i="1" s="1"/>
  <c r="BZ495" i="1"/>
  <c r="BZ478" i="1" s="1"/>
  <c r="CC495" i="1"/>
  <c r="CC478" i="1" s="1"/>
  <c r="CG495" i="1"/>
  <c r="CG478" i="1" s="1"/>
  <c r="CK495" i="1"/>
  <c r="CK478" i="1" s="1"/>
  <c r="CL495" i="1"/>
  <c r="BC495" i="1" s="1"/>
  <c r="BC478" i="1" s="1"/>
  <c r="CM495" i="1"/>
  <c r="CM478" i="1" s="1"/>
  <c r="F511" i="1"/>
  <c r="B533" i="1"/>
  <c r="B22" i="1" s="1"/>
  <c r="C533" i="1"/>
  <c r="C22" i="1" s="1"/>
  <c r="D533" i="1"/>
  <c r="D22" i="1" s="1"/>
  <c r="F533" i="1"/>
  <c r="F22" i="1" s="1"/>
  <c r="G533" i="1"/>
  <c r="G22" i="1" s="1"/>
  <c r="B563" i="1"/>
  <c r="B18" i="1" s="1"/>
  <c r="C563" i="1"/>
  <c r="C18" i="1" s="1"/>
  <c r="D563" i="1"/>
  <c r="D18" i="1" s="1"/>
  <c r="F563" i="1"/>
  <c r="F18" i="1" s="1"/>
  <c r="G563" i="1"/>
  <c r="G18" i="1" s="1"/>
  <c r="J401" i="6" l="1"/>
  <c r="P401" i="6" s="1"/>
  <c r="G54" i="6"/>
  <c r="G72" i="6"/>
  <c r="W72" i="6" s="1"/>
  <c r="J149" i="6"/>
  <c r="P149" i="6" s="1"/>
  <c r="J173" i="6"/>
  <c r="P173" i="6" s="1"/>
  <c r="L307" i="6"/>
  <c r="O272" i="6"/>
  <c r="W305" i="6"/>
  <c r="O391" i="6"/>
  <c r="O405" i="6"/>
  <c r="G45" i="6"/>
  <c r="O45" i="6" s="1"/>
  <c r="G63" i="6"/>
  <c r="O130" i="6"/>
  <c r="O179" i="6"/>
  <c r="O185" i="6"/>
  <c r="O258" i="6"/>
  <c r="H292" i="6"/>
  <c r="K326" i="6"/>
  <c r="H380" i="6"/>
  <c r="G385" i="6" s="1"/>
  <c r="K428" i="6"/>
  <c r="H106" i="6"/>
  <c r="O117" i="6"/>
  <c r="K123" i="6"/>
  <c r="W176" i="6"/>
  <c r="O188" i="6"/>
  <c r="K327" i="6"/>
  <c r="W333" i="6"/>
  <c r="H381" i="6"/>
  <c r="G515" i="6"/>
  <c r="J255" i="6"/>
  <c r="P255" i="6" s="1"/>
  <c r="G527" i="6"/>
  <c r="G24" i="6"/>
  <c r="L151" i="6"/>
  <c r="W114" i="6"/>
  <c r="O133" i="6"/>
  <c r="O136" i="6"/>
  <c r="W139" i="6"/>
  <c r="X182" i="6"/>
  <c r="G228" i="6"/>
  <c r="W228" i="6" s="1"/>
  <c r="J485" i="6"/>
  <c r="P485" i="6" s="1"/>
  <c r="K94" i="6"/>
  <c r="K106" i="6"/>
  <c r="J111" i="6" s="1"/>
  <c r="P111" i="6" s="1"/>
  <c r="G221" i="6"/>
  <c r="O221" i="6" s="1"/>
  <c r="G282" i="6"/>
  <c r="W282" i="6" s="1"/>
  <c r="H428" i="6"/>
  <c r="J363" i="6"/>
  <c r="P363" i="6" s="1"/>
  <c r="G97" i="6"/>
  <c r="H123" i="6"/>
  <c r="G127" i="6" s="1"/>
  <c r="O127" i="6" s="1"/>
  <c r="J228" i="6"/>
  <c r="P228" i="6" s="1"/>
  <c r="G269" i="6"/>
  <c r="W269" i="6" s="1"/>
  <c r="J431" i="6"/>
  <c r="P431" i="6" s="1"/>
  <c r="L529" i="6"/>
  <c r="G505" i="6"/>
  <c r="O505" i="6" s="1"/>
  <c r="O564" i="6"/>
  <c r="J38" i="6"/>
  <c r="P38" i="6" s="1"/>
  <c r="G149" i="6"/>
  <c r="W149" i="6" s="1"/>
  <c r="G173" i="6"/>
  <c r="J221" i="6"/>
  <c r="P221" i="6" s="1"/>
  <c r="G255" i="6"/>
  <c r="W255" i="6" s="1"/>
  <c r="J282" i="6"/>
  <c r="P282" i="6" s="1"/>
  <c r="J353" i="6"/>
  <c r="P353" i="6" s="1"/>
  <c r="G415" i="6"/>
  <c r="J597" i="6"/>
  <c r="P597" i="6" s="1"/>
  <c r="J616" i="6"/>
  <c r="P616" i="6" s="1"/>
  <c r="W97" i="6"/>
  <c r="O97" i="6"/>
  <c r="L202" i="6"/>
  <c r="O353" i="6"/>
  <c r="W353" i="6"/>
  <c r="W505" i="6"/>
  <c r="W54" i="6"/>
  <c r="O54" i="6"/>
  <c r="J97" i="6"/>
  <c r="P97" i="6" s="1"/>
  <c r="O149" i="6"/>
  <c r="W173" i="6"/>
  <c r="O173" i="6"/>
  <c r="G190" i="6" s="1"/>
  <c r="O72" i="6"/>
  <c r="J190" i="6"/>
  <c r="W63" i="6"/>
  <c r="O63" i="6"/>
  <c r="O241" i="6"/>
  <c r="W241" i="6"/>
  <c r="G38" i="6"/>
  <c r="J45" i="6"/>
  <c r="P45" i="6" s="1"/>
  <c r="J74" i="6" s="1"/>
  <c r="J63" i="6"/>
  <c r="P63" i="6" s="1"/>
  <c r="J72" i="6"/>
  <c r="P72" i="6" s="1"/>
  <c r="G111" i="6"/>
  <c r="J127" i="6"/>
  <c r="P127" i="6" s="1"/>
  <c r="J151" i="6" s="1"/>
  <c r="L190" i="6"/>
  <c r="W527" i="6"/>
  <c r="O527" i="6"/>
  <c r="O580" i="6"/>
  <c r="W580" i="6"/>
  <c r="O155" i="8"/>
  <c r="M155" i="8"/>
  <c r="L436" i="6"/>
  <c r="W363" i="6"/>
  <c r="O363" i="6"/>
  <c r="J527" i="6"/>
  <c r="P527" i="6" s="1"/>
  <c r="O38" i="8"/>
  <c r="H35" i="7" s="1"/>
  <c r="G39" i="7" s="1"/>
  <c r="M38" i="8"/>
  <c r="F35" i="7" s="1"/>
  <c r="E39" i="7" s="1"/>
  <c r="J343" i="6"/>
  <c r="P343" i="6" s="1"/>
  <c r="L629" i="6"/>
  <c r="J415" i="6"/>
  <c r="P415" i="6" s="1"/>
  <c r="W475" i="6"/>
  <c r="O475" i="6"/>
  <c r="L618" i="6"/>
  <c r="W588" i="6"/>
  <c r="O588" i="6"/>
  <c r="O45" i="8"/>
  <c r="H52" i="7" s="1"/>
  <c r="M45" i="8"/>
  <c r="F52" i="7" s="1"/>
  <c r="M73" i="8"/>
  <c r="F80" i="7" s="1"/>
  <c r="O73" i="8"/>
  <c r="H80" i="7" s="1"/>
  <c r="O147" i="8"/>
  <c r="M147" i="8"/>
  <c r="O415" i="6"/>
  <c r="W415" i="6"/>
  <c r="W550" i="6"/>
  <c r="O550" i="6"/>
  <c r="O30" i="8"/>
  <c r="H45" i="7" s="1"/>
  <c r="M30" i="8"/>
  <c r="F45" i="7" s="1"/>
  <c r="E49" i="7" s="1"/>
  <c r="O75" i="8"/>
  <c r="H78" i="7" s="1"/>
  <c r="G98" i="7" s="1"/>
  <c r="M75" i="8"/>
  <c r="H293" i="6"/>
  <c r="G296" i="6" s="1"/>
  <c r="W330" i="6"/>
  <c r="J373" i="6"/>
  <c r="P373" i="6" s="1"/>
  <c r="K380" i="6"/>
  <c r="J385" i="6" s="1"/>
  <c r="P385" i="6" s="1"/>
  <c r="W515" i="6"/>
  <c r="O515" i="6"/>
  <c r="T55" i="8"/>
  <c r="R55" i="8"/>
  <c r="O72" i="8"/>
  <c r="H81" i="7" s="1"/>
  <c r="M72" i="8"/>
  <c r="F81" i="7" s="1"/>
  <c r="O228" i="6"/>
  <c r="G431" i="6"/>
  <c r="G574" i="6"/>
  <c r="W607" i="6"/>
  <c r="O607" i="6"/>
  <c r="M43" i="8"/>
  <c r="F69" i="7" s="1"/>
  <c r="O43" i="8"/>
  <c r="H69" i="7" s="1"/>
  <c r="T192" i="8"/>
  <c r="R192" i="8"/>
  <c r="T242" i="8"/>
  <c r="R242" i="8"/>
  <c r="T303" i="8"/>
  <c r="R303" i="8"/>
  <c r="M311" i="8"/>
  <c r="F272" i="7" s="1"/>
  <c r="O311" i="8"/>
  <c r="H272" i="7" s="1"/>
  <c r="G21" i="6"/>
  <c r="W244" i="6"/>
  <c r="O282" i="6"/>
  <c r="K293" i="6"/>
  <c r="J296" i="6" s="1"/>
  <c r="P296" i="6" s="1"/>
  <c r="W485" i="6"/>
  <c r="O42" i="8"/>
  <c r="H73" i="7" s="1"/>
  <c r="M42" i="8"/>
  <c r="F73" i="7" s="1"/>
  <c r="R53" i="8"/>
  <c r="T53" i="8"/>
  <c r="T94" i="8"/>
  <c r="R94" i="8"/>
  <c r="G22" i="6"/>
  <c r="O269" i="6"/>
  <c r="W299" i="6"/>
  <c r="W302" i="6"/>
  <c r="G343" i="6"/>
  <c r="W373" i="6"/>
  <c r="G561" i="6"/>
  <c r="T93" i="8"/>
  <c r="R93" i="8"/>
  <c r="T120" i="8"/>
  <c r="R120" i="8"/>
  <c r="O163" i="8"/>
  <c r="H131" i="7" s="1"/>
  <c r="M163" i="8"/>
  <c r="F131" i="7" s="1"/>
  <c r="L74" i="6"/>
  <c r="H397" i="6"/>
  <c r="G401" i="6" s="1"/>
  <c r="G498" i="6"/>
  <c r="J505" i="6"/>
  <c r="P505" i="6" s="1"/>
  <c r="J561" i="6"/>
  <c r="P561" i="6" s="1"/>
  <c r="O41" i="8"/>
  <c r="H94" i="7" s="1"/>
  <c r="M41" i="8"/>
  <c r="F94" i="7" s="1"/>
  <c r="R91" i="8"/>
  <c r="T91" i="8"/>
  <c r="T111" i="8"/>
  <c r="R111" i="8"/>
  <c r="J607" i="6"/>
  <c r="P607" i="6" s="1"/>
  <c r="T29" i="8"/>
  <c r="T37" i="8"/>
  <c r="O134" i="8"/>
  <c r="M134" i="8"/>
  <c r="F149" i="7" s="1"/>
  <c r="T146" i="8"/>
  <c r="R146" i="8"/>
  <c r="T154" i="8"/>
  <c r="R154" i="8"/>
  <c r="T162" i="8"/>
  <c r="R162" i="8"/>
  <c r="H181" i="7"/>
  <c r="T200" i="8"/>
  <c r="R200" i="8"/>
  <c r="O419" i="6"/>
  <c r="O434" i="6"/>
  <c r="O488" i="6"/>
  <c r="G16" i="7"/>
  <c r="H28" i="7"/>
  <c r="M15" i="8"/>
  <c r="F28" i="7" s="1"/>
  <c r="H18" i="7"/>
  <c r="M23" i="8"/>
  <c r="F20" i="7" s="1"/>
  <c r="M46" i="8"/>
  <c r="F93" i="7" s="1"/>
  <c r="T65" i="8"/>
  <c r="R67" i="8"/>
  <c r="M80" i="8"/>
  <c r="F67" i="7" s="1"/>
  <c r="O81" i="8"/>
  <c r="H66" i="7" s="1"/>
  <c r="M83" i="8"/>
  <c r="G113" i="7"/>
  <c r="O97" i="8"/>
  <c r="H113" i="7" s="1"/>
  <c r="O107" i="8"/>
  <c r="H132" i="7" s="1"/>
  <c r="M107" i="8"/>
  <c r="F132" i="7" s="1"/>
  <c r="E162" i="7"/>
  <c r="M122" i="8"/>
  <c r="F162" i="7" s="1"/>
  <c r="T129" i="8"/>
  <c r="R129" i="8"/>
  <c r="O142" i="8"/>
  <c r="H121" i="7" s="1"/>
  <c r="G123" i="7" s="1"/>
  <c r="M142" i="8"/>
  <c r="F121" i="7" s="1"/>
  <c r="O182" i="8"/>
  <c r="M182" i="8"/>
  <c r="O197" i="8"/>
  <c r="M197" i="8"/>
  <c r="O256" i="8"/>
  <c r="M256" i="8"/>
  <c r="O321" i="8"/>
  <c r="H257" i="7" s="1"/>
  <c r="M321" i="8"/>
  <c r="O330" i="8"/>
  <c r="H247" i="7" s="1"/>
  <c r="M330" i="8"/>
  <c r="F247" i="7" s="1"/>
  <c r="O422" i="6"/>
  <c r="O577" i="6"/>
  <c r="G597" i="6"/>
  <c r="G49" i="7"/>
  <c r="G111" i="7"/>
  <c r="O96" i="8"/>
  <c r="H111" i="7" s="1"/>
  <c r="R122" i="8"/>
  <c r="O130" i="8"/>
  <c r="H154" i="7" s="1"/>
  <c r="M130" i="8"/>
  <c r="T137" i="8"/>
  <c r="R137" i="8"/>
  <c r="F126" i="7"/>
  <c r="E146" i="7" s="1"/>
  <c r="T185" i="8"/>
  <c r="R185" i="8"/>
  <c r="O189" i="8"/>
  <c r="H205" i="7" s="1"/>
  <c r="M189" i="8"/>
  <c r="F205" i="7" s="1"/>
  <c r="O221" i="8"/>
  <c r="M221" i="8"/>
  <c r="F174" i="7" s="1"/>
  <c r="E179" i="7" s="1"/>
  <c r="O239" i="8"/>
  <c r="H188" i="7" s="1"/>
  <c r="M239" i="8"/>
  <c r="T251" i="8"/>
  <c r="R251" i="8"/>
  <c r="O388" i="6"/>
  <c r="G616" i="6"/>
  <c r="T8" i="8"/>
  <c r="R13" i="8"/>
  <c r="T16" i="8"/>
  <c r="R21" i="8"/>
  <c r="T24" i="8"/>
  <c r="O68" i="8"/>
  <c r="H88" i="7" s="1"/>
  <c r="O70" i="8"/>
  <c r="O103" i="8"/>
  <c r="H168" i="7" s="1"/>
  <c r="M103" i="8"/>
  <c r="F168" i="7" s="1"/>
  <c r="O112" i="8"/>
  <c r="H145" i="7" s="1"/>
  <c r="M112" i="8"/>
  <c r="F145" i="7" s="1"/>
  <c r="O121" i="8"/>
  <c r="H120" i="7" s="1"/>
  <c r="M121" i="8"/>
  <c r="F120" i="7" s="1"/>
  <c r="E123" i="7" s="1"/>
  <c r="T125" i="8"/>
  <c r="R125" i="8"/>
  <c r="T150" i="8"/>
  <c r="R150" i="8"/>
  <c r="T158" i="8"/>
  <c r="R158" i="8"/>
  <c r="T166" i="8"/>
  <c r="R166" i="8"/>
  <c r="O173" i="8"/>
  <c r="H235" i="7" s="1"/>
  <c r="M173" i="8"/>
  <c r="T216" i="8"/>
  <c r="R216" i="8"/>
  <c r="T234" i="8"/>
  <c r="R234" i="8"/>
  <c r="R269" i="8"/>
  <c r="T269" i="8"/>
  <c r="R300" i="8"/>
  <c r="T300" i="8"/>
  <c r="R10" i="8"/>
  <c r="T11" i="8"/>
  <c r="R15" i="8"/>
  <c r="R18" i="8"/>
  <c r="T19" i="8"/>
  <c r="F65" i="7"/>
  <c r="F63" i="7"/>
  <c r="M60" i="8"/>
  <c r="F54" i="7" s="1"/>
  <c r="O65" i="8"/>
  <c r="H96" i="7" s="1"/>
  <c r="M67" i="8"/>
  <c r="F91" i="7" s="1"/>
  <c r="T81" i="8"/>
  <c r="R83" i="8"/>
  <c r="G112" i="7"/>
  <c r="O95" i="8"/>
  <c r="H112" i="7" s="1"/>
  <c r="G110" i="7"/>
  <c r="O99" i="8"/>
  <c r="H110" i="7" s="1"/>
  <c r="D167" i="7"/>
  <c r="R109" i="8"/>
  <c r="T122" i="8"/>
  <c r="R124" i="8"/>
  <c r="F157" i="7"/>
  <c r="O138" i="8"/>
  <c r="H135" i="7" s="1"/>
  <c r="M138" i="8"/>
  <c r="F135" i="7" s="1"/>
  <c r="M146" i="8"/>
  <c r="F163" i="7" s="1"/>
  <c r="R149" i="8"/>
  <c r="M154" i="8"/>
  <c r="F150" i="7" s="1"/>
  <c r="R157" i="8"/>
  <c r="M162" i="8"/>
  <c r="F133" i="7" s="1"/>
  <c r="R165" i="8"/>
  <c r="O213" i="8"/>
  <c r="H209" i="7" s="1"/>
  <c r="M213" i="8"/>
  <c r="F209" i="7" s="1"/>
  <c r="O231" i="8"/>
  <c r="H211" i="7" s="1"/>
  <c r="M231" i="8"/>
  <c r="F211" i="7" s="1"/>
  <c r="H203" i="7"/>
  <c r="O248" i="8"/>
  <c r="M248" i="8"/>
  <c r="O264" i="8"/>
  <c r="H183" i="7" s="1"/>
  <c r="M264" i="8"/>
  <c r="H70" i="7"/>
  <c r="G75" i="7"/>
  <c r="E114" i="7"/>
  <c r="O126" i="8"/>
  <c r="H160" i="7" s="1"/>
  <c r="M126" i="8"/>
  <c r="T133" i="8"/>
  <c r="R133" i="8"/>
  <c r="D126" i="7"/>
  <c r="E161" i="7"/>
  <c r="M143" i="8"/>
  <c r="F161" i="7" s="1"/>
  <c r="O151" i="8"/>
  <c r="M151" i="8"/>
  <c r="O159" i="8"/>
  <c r="H137" i="7" s="1"/>
  <c r="M159" i="8"/>
  <c r="F137" i="7" s="1"/>
  <c r="O167" i="8"/>
  <c r="M167" i="8"/>
  <c r="T176" i="8"/>
  <c r="R176" i="8"/>
  <c r="H233" i="7"/>
  <c r="T208" i="8"/>
  <c r="R208" i="8"/>
  <c r="T226" i="8"/>
  <c r="R226" i="8"/>
  <c r="J588" i="6"/>
  <c r="P588" i="6" s="1"/>
  <c r="R30" i="8"/>
  <c r="R33" i="8"/>
  <c r="T34" i="8"/>
  <c r="R38" i="8"/>
  <c r="T43" i="8"/>
  <c r="R45" i="8"/>
  <c r="F78" i="7"/>
  <c r="E98" i="7" s="1"/>
  <c r="M52" i="8"/>
  <c r="F74" i="7" s="1"/>
  <c r="O53" i="8"/>
  <c r="H72" i="7" s="1"/>
  <c r="H71" i="7"/>
  <c r="M55" i="8"/>
  <c r="F70" i="7" s="1"/>
  <c r="T73" i="8"/>
  <c r="R75" i="8"/>
  <c r="M88" i="8"/>
  <c r="F57" i="7" s="1"/>
  <c r="O89" i="8"/>
  <c r="H53" i="7" s="1"/>
  <c r="O91" i="8"/>
  <c r="H109" i="7" s="1"/>
  <c r="M91" i="8"/>
  <c r="F109" i="7" s="1"/>
  <c r="G108" i="7"/>
  <c r="O98" i="8"/>
  <c r="H108" i="7" s="1"/>
  <c r="T106" i="8"/>
  <c r="R106" i="8"/>
  <c r="M111" i="8"/>
  <c r="F153" i="7" s="1"/>
  <c r="T115" i="8"/>
  <c r="R115" i="8"/>
  <c r="O117" i="8"/>
  <c r="M117" i="8"/>
  <c r="M120" i="8"/>
  <c r="F134" i="7" s="1"/>
  <c r="D154" i="7"/>
  <c r="R132" i="8"/>
  <c r="T141" i="8"/>
  <c r="R141" i="8"/>
  <c r="R175" i="8"/>
  <c r="F213" i="7"/>
  <c r="O205" i="8"/>
  <c r="M205" i="8"/>
  <c r="E226" i="7"/>
  <c r="M222" i="8"/>
  <c r="F226" i="7" s="1"/>
  <c r="H217" i="7"/>
  <c r="T259" i="8"/>
  <c r="R259" i="8"/>
  <c r="H163" i="7"/>
  <c r="H150" i="7"/>
  <c r="H126" i="7"/>
  <c r="G146" i="7" s="1"/>
  <c r="M177" i="8"/>
  <c r="F181" i="7" s="1"/>
  <c r="R181" i="8"/>
  <c r="M186" i="8"/>
  <c r="F214" i="7" s="1"/>
  <c r="R189" i="8"/>
  <c r="M194" i="8"/>
  <c r="R197" i="8"/>
  <c r="M202" i="8"/>
  <c r="R205" i="8"/>
  <c r="M210" i="8"/>
  <c r="F219" i="7" s="1"/>
  <c r="R213" i="8"/>
  <c r="M218" i="8"/>
  <c r="R221" i="8"/>
  <c r="H224" i="7"/>
  <c r="M228" i="8"/>
  <c r="R231" i="8"/>
  <c r="D207" i="7"/>
  <c r="H204" i="7"/>
  <c r="M236" i="8"/>
  <c r="F203" i="7" s="1"/>
  <c r="R239" i="8"/>
  <c r="H175" i="7"/>
  <c r="M245" i="8"/>
  <c r="R248" i="8"/>
  <c r="M253" i="8"/>
  <c r="R256" i="8"/>
  <c r="M261" i="8"/>
  <c r="R264" i="8"/>
  <c r="R272" i="8"/>
  <c r="F258" i="7"/>
  <c r="M286" i="8"/>
  <c r="F288" i="7" s="1"/>
  <c r="M287" i="8"/>
  <c r="F290" i="7" s="1"/>
  <c r="M288" i="8"/>
  <c r="F287" i="7" s="1"/>
  <c r="O289" i="8"/>
  <c r="H285" i="7" s="1"/>
  <c r="O292" i="8"/>
  <c r="H261" i="7" s="1"/>
  <c r="M294" i="8"/>
  <c r="M295" i="8"/>
  <c r="F256" i="7" s="1"/>
  <c r="M296" i="8"/>
  <c r="F251" i="7" s="1"/>
  <c r="E276" i="7" s="1"/>
  <c r="O297" i="8"/>
  <c r="H246" i="7" s="1"/>
  <c r="G249" i="7" s="1"/>
  <c r="O313" i="8"/>
  <c r="H270" i="7" s="1"/>
  <c r="M313" i="8"/>
  <c r="F270" i="7" s="1"/>
  <c r="T319" i="8"/>
  <c r="R319" i="8"/>
  <c r="O324" i="8"/>
  <c r="H248" i="7" s="1"/>
  <c r="M324" i="8"/>
  <c r="F248" i="7" s="1"/>
  <c r="E167" i="7"/>
  <c r="D18" i="7"/>
  <c r="D63" i="7"/>
  <c r="O116" i="8"/>
  <c r="H166" i="7" s="1"/>
  <c r="D164" i="7"/>
  <c r="D127" i="7"/>
  <c r="M169" i="8"/>
  <c r="F159" i="7" s="1"/>
  <c r="M170" i="8"/>
  <c r="F156" i="7" s="1"/>
  <c r="M171" i="8"/>
  <c r="F165" i="7" s="1"/>
  <c r="D200" i="7"/>
  <c r="M179" i="8"/>
  <c r="F233" i="7" s="1"/>
  <c r="D182" i="7"/>
  <c r="O244" i="8"/>
  <c r="H220" i="7" s="1"/>
  <c r="R271" i="8"/>
  <c r="M279" i="8"/>
  <c r="F244" i="7" s="1"/>
  <c r="E249" i="7" s="1"/>
  <c r="O280" i="8"/>
  <c r="F265" i="7"/>
  <c r="O283" i="8"/>
  <c r="H258" i="7" s="1"/>
  <c r="H251" i="7"/>
  <c r="M291" i="8"/>
  <c r="M299" i="8"/>
  <c r="F257" i="7" s="1"/>
  <c r="T316" i="8"/>
  <c r="R316" i="8"/>
  <c r="H174" i="7"/>
  <c r="G179" i="7" s="1"/>
  <c r="O308" i="8"/>
  <c r="H275" i="7" s="1"/>
  <c r="M308" i="8"/>
  <c r="F275" i="7" s="1"/>
  <c r="T324" i="8"/>
  <c r="R324" i="8"/>
  <c r="D158" i="7"/>
  <c r="D148" i="7"/>
  <c r="M190" i="8"/>
  <c r="F200" i="7" s="1"/>
  <c r="R193" i="8"/>
  <c r="M198" i="8"/>
  <c r="F215" i="7" s="1"/>
  <c r="R201" i="8"/>
  <c r="D221" i="7"/>
  <c r="M206" i="8"/>
  <c r="F198" i="7" s="1"/>
  <c r="R209" i="8"/>
  <c r="M214" i="8"/>
  <c r="R217" i="8"/>
  <c r="M224" i="8"/>
  <c r="F236" i="7" s="1"/>
  <c r="R227" i="8"/>
  <c r="D216" i="7"/>
  <c r="M232" i="8"/>
  <c r="F208" i="7" s="1"/>
  <c r="R235" i="8"/>
  <c r="M240" i="8"/>
  <c r="F184" i="7" s="1"/>
  <c r="R243" i="8"/>
  <c r="M249" i="8"/>
  <c r="R252" i="8"/>
  <c r="M257" i="8"/>
  <c r="R260" i="8"/>
  <c r="M265" i="8"/>
  <c r="F182" i="7" s="1"/>
  <c r="R289" i="8"/>
  <c r="T292" i="8"/>
  <c r="R297" i="8"/>
  <c r="R302" i="8"/>
  <c r="E289" i="7"/>
  <c r="M325" i="8"/>
  <c r="F289" i="7" s="1"/>
  <c r="E291" i="7" s="1"/>
  <c r="O338" i="8"/>
  <c r="H338" i="7" s="1"/>
  <c r="M338" i="8"/>
  <c r="F338" i="7" s="1"/>
  <c r="O346" i="8"/>
  <c r="H309" i="7" s="1"/>
  <c r="M346" i="8"/>
  <c r="F309" i="7" s="1"/>
  <c r="O356" i="8"/>
  <c r="H328" i="7" s="1"/>
  <c r="G343" i="7" s="1"/>
  <c r="M356" i="8"/>
  <c r="F328" i="7" s="1"/>
  <c r="O364" i="8"/>
  <c r="H308" i="7" s="1"/>
  <c r="M364" i="8"/>
  <c r="F308" i="7" s="1"/>
  <c r="O372" i="8"/>
  <c r="H310" i="7" s="1"/>
  <c r="M372" i="8"/>
  <c r="F310" i="7" s="1"/>
  <c r="O380" i="8"/>
  <c r="H302" i="7" s="1"/>
  <c r="M380" i="8"/>
  <c r="F302" i="7" s="1"/>
  <c r="T383" i="8"/>
  <c r="R383" i="8"/>
  <c r="T95" i="8"/>
  <c r="T96" i="8"/>
  <c r="T97" i="8"/>
  <c r="T98" i="8"/>
  <c r="T99" i="8"/>
  <c r="D118" i="7"/>
  <c r="T116" i="8"/>
  <c r="F169" i="7"/>
  <c r="F152" i="7"/>
  <c r="R169" i="8"/>
  <c r="R170" i="8"/>
  <c r="R171" i="8"/>
  <c r="F210" i="7"/>
  <c r="R179" i="8"/>
  <c r="F229" i="7"/>
  <c r="F207" i="7"/>
  <c r="D189" i="7"/>
  <c r="R245" i="8"/>
  <c r="M250" i="8"/>
  <c r="F216" i="7" s="1"/>
  <c r="R253" i="8"/>
  <c r="M258" i="8"/>
  <c r="F196" i="7" s="1"/>
  <c r="R261" i="8"/>
  <c r="M267" i="8"/>
  <c r="F222" i="7" s="1"/>
  <c r="M268" i="8"/>
  <c r="F223" i="7" s="1"/>
  <c r="M272" i="8"/>
  <c r="F228" i="7" s="1"/>
  <c r="T341" i="8"/>
  <c r="R341" i="8"/>
  <c r="T349" i="8"/>
  <c r="R349" i="8"/>
  <c r="H330" i="7"/>
  <c r="T359" i="8"/>
  <c r="R359" i="8"/>
  <c r="T367" i="8"/>
  <c r="R367" i="8"/>
  <c r="T375" i="8"/>
  <c r="R375" i="8"/>
  <c r="H85" i="7"/>
  <c r="D70" i="7"/>
  <c r="O122" i="8"/>
  <c r="H162" i="7" s="1"/>
  <c r="H169" i="7"/>
  <c r="D155" i="7"/>
  <c r="H152" i="7"/>
  <c r="D188" i="7"/>
  <c r="M271" i="8"/>
  <c r="F212" i="7" s="1"/>
  <c r="M274" i="8"/>
  <c r="F240" i="7" s="1"/>
  <c r="E241" i="7" s="1"/>
  <c r="R277" i="8"/>
  <c r="T278" i="8"/>
  <c r="R282" i="8"/>
  <c r="R285" i="8"/>
  <c r="T311" i="8"/>
  <c r="R311" i="8"/>
  <c r="O316" i="8"/>
  <c r="M316" i="8"/>
  <c r="T332" i="8"/>
  <c r="R332" i="8"/>
  <c r="T169" i="8"/>
  <c r="T170" i="8"/>
  <c r="T171" i="8"/>
  <c r="H200" i="7"/>
  <c r="T179" i="8"/>
  <c r="F177" i="7"/>
  <c r="D236" i="7"/>
  <c r="H227" i="7"/>
  <c r="F224" i="7"/>
  <c r="D208" i="7"/>
  <c r="F204" i="7"/>
  <c r="H182" i="7"/>
  <c r="O267" i="8"/>
  <c r="H222" i="7" s="1"/>
  <c r="O268" i="8"/>
  <c r="H223" i="7" s="1"/>
  <c r="O272" i="8"/>
  <c r="H228" i="7" s="1"/>
  <c r="G240" i="7"/>
  <c r="O274" i="8"/>
  <c r="H240" i="7" s="1"/>
  <c r="G241" i="7" s="1"/>
  <c r="O300" i="8"/>
  <c r="M300" i="8"/>
  <c r="G342" i="7"/>
  <c r="O336" i="8"/>
  <c r="H342" i="7" s="1"/>
  <c r="G300" i="7"/>
  <c r="H304" i="7"/>
  <c r="M336" i="8"/>
  <c r="F342" i="7" s="1"/>
  <c r="O351" i="8"/>
  <c r="H340" i="7" s="1"/>
  <c r="O352" i="8"/>
  <c r="H339" i="7" s="1"/>
  <c r="D304" i="7"/>
  <c r="T325" i="8"/>
  <c r="R384" i="8"/>
  <c r="T351" i="8"/>
  <c r="T352" i="8"/>
  <c r="M382" i="8"/>
  <c r="F320" i="7" s="1"/>
  <c r="E343" i="7" s="1"/>
  <c r="R385" i="8"/>
  <c r="D290" i="7"/>
  <c r="R328" i="8"/>
  <c r="M332" i="8"/>
  <c r="F306" i="7" s="1"/>
  <c r="R335" i="8"/>
  <c r="M341" i="8"/>
  <c r="F335" i="7" s="1"/>
  <c r="R344" i="8"/>
  <c r="M349" i="8"/>
  <c r="F303" i="7" s="1"/>
  <c r="R354" i="8"/>
  <c r="M359" i="8"/>
  <c r="F323" i="7" s="1"/>
  <c r="R362" i="8"/>
  <c r="M367" i="8"/>
  <c r="F329" i="7" s="1"/>
  <c r="R370" i="8"/>
  <c r="M375" i="8"/>
  <c r="F326" i="7" s="1"/>
  <c r="R378" i="8"/>
  <c r="M383" i="8"/>
  <c r="F312" i="7" s="1"/>
  <c r="E300" i="7"/>
  <c r="T336" i="8"/>
  <c r="M351" i="8"/>
  <c r="F340" i="7" s="1"/>
  <c r="M352" i="8"/>
  <c r="F339" i="7" s="1"/>
  <c r="CP493" i="1"/>
  <c r="O493" i="1" s="1"/>
  <c r="GM493" i="1" s="1"/>
  <c r="GN493" i="1" s="1"/>
  <c r="CY490" i="1"/>
  <c r="X490" i="1" s="1"/>
  <c r="CZ490" i="1"/>
  <c r="Y490" i="1" s="1"/>
  <c r="CP490" i="1"/>
  <c r="O490" i="1" s="1"/>
  <c r="GM490" i="1" s="1"/>
  <c r="GN490" i="1" s="1"/>
  <c r="CZ489" i="1"/>
  <c r="Y489" i="1" s="1"/>
  <c r="CY489" i="1"/>
  <c r="X489" i="1" s="1"/>
  <c r="CY492" i="1"/>
  <c r="X492" i="1" s="1"/>
  <c r="CZ492" i="1"/>
  <c r="Y492" i="1" s="1"/>
  <c r="CP492" i="1"/>
  <c r="O492" i="1" s="1"/>
  <c r="CP489" i="1"/>
  <c r="O489" i="1" s="1"/>
  <c r="F505" i="1"/>
  <c r="BB495" i="1"/>
  <c r="R486" i="1"/>
  <c r="AB481" i="1"/>
  <c r="CP480" i="1"/>
  <c r="O480" i="1" s="1"/>
  <c r="CC424" i="1"/>
  <c r="AT438" i="1"/>
  <c r="AT380" i="1"/>
  <c r="F402" i="1"/>
  <c r="CP336" i="1"/>
  <c r="O336" i="1" s="1"/>
  <c r="AB486" i="1"/>
  <c r="CD495" i="1"/>
  <c r="CP481" i="1"/>
  <c r="O481" i="1" s="1"/>
  <c r="GM429" i="1"/>
  <c r="GN429" i="1" s="1"/>
  <c r="AB426" i="1"/>
  <c r="F393" i="1"/>
  <c r="AP380" i="1"/>
  <c r="CP338" i="1"/>
  <c r="O338" i="1" s="1"/>
  <c r="GM338" i="1" s="1"/>
  <c r="GN338" i="1" s="1"/>
  <c r="CU496" i="3"/>
  <c r="CV496" i="3"/>
  <c r="CX496" i="3"/>
  <c r="CX498" i="3"/>
  <c r="CW494" i="3"/>
  <c r="CX494" i="3"/>
  <c r="CU492" i="3"/>
  <c r="CV492" i="3"/>
  <c r="CX492" i="3"/>
  <c r="CX484" i="3"/>
  <c r="CU483" i="3"/>
  <c r="CW487" i="3"/>
  <c r="CX490" i="3"/>
  <c r="CW486" i="3"/>
  <c r="CX486" i="3"/>
  <c r="CX489" i="3"/>
  <c r="CX488" i="3"/>
  <c r="P485" i="1"/>
  <c r="CP485" i="1" s="1"/>
  <c r="O485" i="1" s="1"/>
  <c r="CZ480" i="1"/>
  <c r="Y480" i="1" s="1"/>
  <c r="CY432" i="1"/>
  <c r="X432" i="1" s="1"/>
  <c r="CZ432" i="1"/>
  <c r="Y432" i="1" s="1"/>
  <c r="CY428" i="1"/>
  <c r="X428" i="1" s="1"/>
  <c r="CZ428" i="1"/>
  <c r="Y428" i="1" s="1"/>
  <c r="AD438" i="1"/>
  <c r="AI438" i="1"/>
  <c r="AO380" i="1"/>
  <c r="F388" i="1"/>
  <c r="AP495" i="1"/>
  <c r="U493" i="1"/>
  <c r="U492" i="1"/>
  <c r="AG380" i="1"/>
  <c r="T384" i="1"/>
  <c r="CI495" i="1"/>
  <c r="AX495" i="1"/>
  <c r="AO495" i="1"/>
  <c r="AB488" i="1"/>
  <c r="AB484" i="1"/>
  <c r="CQ484" i="1"/>
  <c r="P484" i="1" s="1"/>
  <c r="CP484" i="1" s="1"/>
  <c r="O484" i="1" s="1"/>
  <c r="CP483" i="1"/>
  <c r="O483" i="1" s="1"/>
  <c r="GM483" i="1" s="1"/>
  <c r="GN483" i="1" s="1"/>
  <c r="AB483" i="1"/>
  <c r="CP430" i="1"/>
  <c r="O430" i="1" s="1"/>
  <c r="BA384" i="1"/>
  <c r="CJ380" i="1"/>
  <c r="AF384" i="1"/>
  <c r="CY382" i="1"/>
  <c r="X382" i="1" s="1"/>
  <c r="AK384" i="1" s="1"/>
  <c r="CZ382" i="1"/>
  <c r="Y382" i="1" s="1"/>
  <c r="AL384" i="1" s="1"/>
  <c r="GM488" i="1"/>
  <c r="GN488" i="1" s="1"/>
  <c r="Q486" i="1"/>
  <c r="CP486" i="1" s="1"/>
  <c r="O486" i="1" s="1"/>
  <c r="CY435" i="1"/>
  <c r="X435" i="1" s="1"/>
  <c r="CZ435" i="1"/>
  <c r="Y435" i="1" s="1"/>
  <c r="CD424" i="1"/>
  <c r="AU438" i="1"/>
  <c r="AJ438" i="1"/>
  <c r="BD380" i="1"/>
  <c r="F409" i="1"/>
  <c r="AU384" i="1"/>
  <c r="CD380" i="1"/>
  <c r="AE380" i="1"/>
  <c r="R384" i="1"/>
  <c r="AB492" i="1"/>
  <c r="AQ438" i="1"/>
  <c r="CI438" i="1"/>
  <c r="BZ424" i="1"/>
  <c r="GM428" i="1"/>
  <c r="GN428" i="1" s="1"/>
  <c r="AH438" i="1"/>
  <c r="CY427" i="1"/>
  <c r="X427" i="1" s="1"/>
  <c r="GM427" i="1" s="1"/>
  <c r="GN427" i="1" s="1"/>
  <c r="CZ427" i="1"/>
  <c r="Y427" i="1" s="1"/>
  <c r="BC380" i="1"/>
  <c r="F400" i="1"/>
  <c r="AD380" i="1"/>
  <c r="Q384" i="1"/>
  <c r="BZ313" i="1"/>
  <c r="AQ340" i="1"/>
  <c r="CG340" i="1"/>
  <c r="CI340" i="1"/>
  <c r="BD495" i="1"/>
  <c r="AT495" i="1"/>
  <c r="AB489" i="1"/>
  <c r="CR487" i="1"/>
  <c r="Q487" i="1" s="1"/>
  <c r="CP487" i="1" s="1"/>
  <c r="O487" i="1" s="1"/>
  <c r="GM487" i="1" s="1"/>
  <c r="GN487" i="1" s="1"/>
  <c r="AB487" i="1"/>
  <c r="T486" i="1"/>
  <c r="S486" i="1"/>
  <c r="CY485" i="1"/>
  <c r="X485" i="1" s="1"/>
  <c r="CZ485" i="1"/>
  <c r="Y485" i="1" s="1"/>
  <c r="CY484" i="1"/>
  <c r="X484" i="1" s="1"/>
  <c r="CZ484" i="1"/>
  <c r="Y484" i="1" s="1"/>
  <c r="CP436" i="1"/>
  <c r="O436" i="1" s="1"/>
  <c r="AB435" i="1"/>
  <c r="CP434" i="1"/>
  <c r="O434" i="1" s="1"/>
  <c r="CJ438" i="1"/>
  <c r="CZ426" i="1"/>
  <c r="Y426" i="1" s="1"/>
  <c r="CY426" i="1"/>
  <c r="X426" i="1" s="1"/>
  <c r="AF438" i="1"/>
  <c r="BB380" i="1"/>
  <c r="F397" i="1"/>
  <c r="BZ380" i="1"/>
  <c r="CG384" i="1"/>
  <c r="AQ384" i="1"/>
  <c r="AC384" i="1"/>
  <c r="CP382" i="1"/>
  <c r="O382" i="1" s="1"/>
  <c r="CS481" i="1"/>
  <c r="R481" i="1" s="1"/>
  <c r="CZ481" i="1" s="1"/>
  <c r="Y481" i="1" s="1"/>
  <c r="CG438" i="1"/>
  <c r="AP438" i="1"/>
  <c r="CW374" i="3"/>
  <c r="CW378" i="3"/>
  <c r="CW382" i="3"/>
  <c r="CW386" i="3"/>
  <c r="CX395" i="3"/>
  <c r="CX374" i="3"/>
  <c r="CX378" i="3"/>
  <c r="CX382" i="3"/>
  <c r="CX386" i="3"/>
  <c r="CX392" i="3"/>
  <c r="CW380" i="3"/>
  <c r="CW384" i="3"/>
  <c r="CW388" i="3"/>
  <c r="CX391" i="3"/>
  <c r="CX372" i="3"/>
  <c r="CX376" i="3"/>
  <c r="CX380" i="3"/>
  <c r="CX384" i="3"/>
  <c r="CX388" i="3"/>
  <c r="CX396" i="3"/>
  <c r="CU371" i="3"/>
  <c r="CW375" i="3"/>
  <c r="CW379" i="3"/>
  <c r="CW383" i="3"/>
  <c r="CW387" i="3"/>
  <c r="CX393" i="3"/>
  <c r="CQ426" i="1"/>
  <c r="P426" i="1" s="1"/>
  <c r="CI384" i="1"/>
  <c r="BY380" i="1"/>
  <c r="CZ337" i="1"/>
  <c r="Y337" i="1" s="1"/>
  <c r="GM337" i="1" s="1"/>
  <c r="GN337" i="1" s="1"/>
  <c r="U333" i="1"/>
  <c r="V332" i="1"/>
  <c r="CT331" i="1"/>
  <c r="S331" i="1" s="1"/>
  <c r="AB331" i="1"/>
  <c r="AB322" i="1"/>
  <c r="P258" i="1"/>
  <c r="GX258" i="1"/>
  <c r="CP249" i="1"/>
  <c r="O249" i="1" s="1"/>
  <c r="CU441" i="3"/>
  <c r="CV441" i="3"/>
  <c r="CX441" i="3"/>
  <c r="CX444" i="3"/>
  <c r="AO438" i="1"/>
  <c r="CQ433" i="1"/>
  <c r="P433" i="1" s="1"/>
  <c r="CP433" i="1" s="1"/>
  <c r="O433" i="1" s="1"/>
  <c r="GM433" i="1" s="1"/>
  <c r="GN433" i="1" s="1"/>
  <c r="CQ432" i="1"/>
  <c r="P432" i="1" s="1"/>
  <c r="CP432" i="1" s="1"/>
  <c r="O432" i="1" s="1"/>
  <c r="GM432" i="1" s="1"/>
  <c r="GN432" i="1" s="1"/>
  <c r="W384" i="1"/>
  <c r="BX380" i="1"/>
  <c r="CP334" i="1"/>
  <c r="O334" i="1" s="1"/>
  <c r="GM334" i="1" s="1"/>
  <c r="GN334" i="1" s="1"/>
  <c r="AD328" i="1"/>
  <c r="AB328" i="1" s="1"/>
  <c r="CS328" i="1"/>
  <c r="R328" i="1" s="1"/>
  <c r="CZ328" i="1" s="1"/>
  <c r="Y328" i="1" s="1"/>
  <c r="CP327" i="1"/>
  <c r="O327" i="1" s="1"/>
  <c r="GM327" i="1" s="1"/>
  <c r="GN327" i="1" s="1"/>
  <c r="CP315" i="1"/>
  <c r="O315" i="1" s="1"/>
  <c r="AB268" i="1"/>
  <c r="V265" i="1"/>
  <c r="CP262" i="1"/>
  <c r="O262" i="1" s="1"/>
  <c r="BD438" i="1"/>
  <c r="CX408" i="3"/>
  <c r="CW413" i="3"/>
  <c r="CW420" i="3"/>
  <c r="CX422" i="3"/>
  <c r="CW411" i="3"/>
  <c r="CW418" i="3"/>
  <c r="CX420" i="3"/>
  <c r="CW416" i="3"/>
  <c r="CX418" i="3"/>
  <c r="CW414" i="3"/>
  <c r="CX416" i="3"/>
  <c r="CW412" i="3"/>
  <c r="CX414" i="3"/>
  <c r="CW410" i="3"/>
  <c r="CX412" i="3"/>
  <c r="CW419" i="3"/>
  <c r="CU408" i="3"/>
  <c r="CX410" i="3"/>
  <c r="CW417" i="3"/>
  <c r="CX424" i="3"/>
  <c r="CV408" i="3"/>
  <c r="CW422" i="3"/>
  <c r="CX428" i="3"/>
  <c r="CX430" i="3"/>
  <c r="CM380" i="1"/>
  <c r="AB334" i="1"/>
  <c r="CY328" i="1"/>
  <c r="X328" i="1" s="1"/>
  <c r="AB320" i="1"/>
  <c r="CY316" i="1"/>
  <c r="X316" i="1" s="1"/>
  <c r="CZ316" i="1"/>
  <c r="Y316" i="1" s="1"/>
  <c r="AB269" i="1"/>
  <c r="W265" i="1"/>
  <c r="BC438" i="1"/>
  <c r="CX349" i="3"/>
  <c r="CX353" i="3"/>
  <c r="CU348" i="3"/>
  <c r="CW351" i="3"/>
  <c r="CW353" i="3"/>
  <c r="CX351" i="3"/>
  <c r="U384" i="1"/>
  <c r="CL380" i="1"/>
  <c r="AU340" i="1"/>
  <c r="CZ336" i="1"/>
  <c r="Y336" i="1" s="1"/>
  <c r="CP335" i="1"/>
  <c r="O335" i="1" s="1"/>
  <c r="GM335" i="1" s="1"/>
  <c r="GN335" i="1" s="1"/>
  <c r="R333" i="1"/>
  <c r="CY333" i="1" s="1"/>
  <c r="X333" i="1" s="1"/>
  <c r="GX332" i="1"/>
  <c r="CR328" i="1"/>
  <c r="Q328" i="1" s="1"/>
  <c r="CY323" i="1"/>
  <c r="X323" i="1" s="1"/>
  <c r="CZ323" i="1"/>
  <c r="Y323" i="1" s="1"/>
  <c r="CP316" i="1"/>
  <c r="O316" i="1" s="1"/>
  <c r="GM316" i="1" s="1"/>
  <c r="GN316" i="1" s="1"/>
  <c r="GM271" i="1"/>
  <c r="GN271" i="1" s="1"/>
  <c r="CX478" i="3"/>
  <c r="CW476" i="3"/>
  <c r="CX482" i="3"/>
  <c r="CU475" i="3"/>
  <c r="CX476" i="3"/>
  <c r="CX481" i="3"/>
  <c r="CX459" i="3"/>
  <c r="CW450" i="3"/>
  <c r="CX456" i="3"/>
  <c r="CX446" i="3"/>
  <c r="CX450" i="3"/>
  <c r="CU445" i="3"/>
  <c r="CV445" i="3"/>
  <c r="CX455" i="3"/>
  <c r="CX445" i="3"/>
  <c r="CW448" i="3"/>
  <c r="CX452" i="3"/>
  <c r="CX460" i="3"/>
  <c r="CW447" i="3"/>
  <c r="CW451" i="3"/>
  <c r="CL478" i="1"/>
  <c r="BB438" i="1"/>
  <c r="CZ431" i="1"/>
  <c r="Y431" i="1" s="1"/>
  <c r="CK380" i="1"/>
  <c r="CC380" i="1"/>
  <c r="BD340" i="1"/>
  <c r="AT340" i="1"/>
  <c r="Q333" i="1"/>
  <c r="CP333" i="1" s="1"/>
  <c r="O333" i="1" s="1"/>
  <c r="AB333" i="1"/>
  <c r="AD332" i="1"/>
  <c r="AB332" i="1" s="1"/>
  <c r="CS332" i="1"/>
  <c r="R332" i="1" s="1"/>
  <c r="T265" i="1"/>
  <c r="U265" i="1"/>
  <c r="GM263" i="1"/>
  <c r="GN263" i="1" s="1"/>
  <c r="CU438" i="3"/>
  <c r="CX440" i="3"/>
  <c r="CS436" i="1"/>
  <c r="R436" i="1" s="1"/>
  <c r="CY436" i="1" s="1"/>
  <c r="X436" i="1" s="1"/>
  <c r="CS434" i="1"/>
  <c r="R434" i="1" s="1"/>
  <c r="CY434" i="1" s="1"/>
  <c r="X434" i="1" s="1"/>
  <c r="CQ431" i="1"/>
  <c r="P431" i="1" s="1"/>
  <c r="CP431" i="1" s="1"/>
  <c r="O431" i="1" s="1"/>
  <c r="GM431" i="1" s="1"/>
  <c r="GN431" i="1" s="1"/>
  <c r="CS430" i="1"/>
  <c r="R430" i="1" s="1"/>
  <c r="CY430" i="1" s="1"/>
  <c r="X430" i="1" s="1"/>
  <c r="F344" i="1"/>
  <c r="BC340" i="1"/>
  <c r="AD338" i="1"/>
  <c r="AB338" i="1" s="1"/>
  <c r="S332" i="1"/>
  <c r="CP331" i="1"/>
  <c r="O331" i="1" s="1"/>
  <c r="CY321" i="1"/>
  <c r="X321" i="1" s="1"/>
  <c r="CZ321" i="1"/>
  <c r="Y321" i="1" s="1"/>
  <c r="AB318" i="1"/>
  <c r="CZ315" i="1"/>
  <c r="Y315" i="1" s="1"/>
  <c r="CY315" i="1"/>
  <c r="X315" i="1" s="1"/>
  <c r="GX265" i="1"/>
  <c r="S265" i="1"/>
  <c r="CY261" i="1"/>
  <c r="X261" i="1" s="1"/>
  <c r="GM261" i="1" s="1"/>
  <c r="GN261" i="1" s="1"/>
  <c r="CZ261" i="1"/>
  <c r="Y261" i="1" s="1"/>
  <c r="CY257" i="1"/>
  <c r="X257" i="1" s="1"/>
  <c r="CZ257" i="1"/>
  <c r="Y257" i="1" s="1"/>
  <c r="CY256" i="1"/>
  <c r="X256" i="1" s="1"/>
  <c r="CZ256" i="1"/>
  <c r="Y256" i="1" s="1"/>
  <c r="CV432" i="3"/>
  <c r="CX432" i="3"/>
  <c r="CW437" i="3"/>
  <c r="CX433" i="3"/>
  <c r="CX437" i="3"/>
  <c r="CU432" i="3"/>
  <c r="CX436" i="3"/>
  <c r="CV356" i="3"/>
  <c r="CX356" i="3"/>
  <c r="CW358" i="3"/>
  <c r="CU356" i="3"/>
  <c r="CW363" i="3"/>
  <c r="CX358" i="3"/>
  <c r="CW364" i="3"/>
  <c r="CW362" i="3"/>
  <c r="CX364" i="3"/>
  <c r="CW360" i="3"/>
  <c r="CX362" i="3"/>
  <c r="CX360" i="3"/>
  <c r="CD245" i="1"/>
  <c r="AU273" i="1"/>
  <c r="CY262" i="1"/>
  <c r="X262" i="1" s="1"/>
  <c r="CZ262" i="1"/>
  <c r="Y262" i="1" s="1"/>
  <c r="I482" i="1"/>
  <c r="GX482" i="1" s="1"/>
  <c r="CJ495" i="1" s="1"/>
  <c r="W481" i="1"/>
  <c r="T436" i="1"/>
  <c r="P435" i="1"/>
  <c r="CP435" i="1" s="1"/>
  <c r="O435" i="1" s="1"/>
  <c r="GM435" i="1" s="1"/>
  <c r="GN435" i="1" s="1"/>
  <c r="T430" i="1"/>
  <c r="AG438" i="1" s="1"/>
  <c r="CW345" i="3"/>
  <c r="CX344" i="3"/>
  <c r="CU343" i="3"/>
  <c r="CX347" i="3"/>
  <c r="CV343" i="3"/>
  <c r="AP340" i="1"/>
  <c r="AD337" i="1"/>
  <c r="AB337" i="1" s="1"/>
  <c r="CP326" i="1"/>
  <c r="O326" i="1" s="1"/>
  <c r="GM326" i="1" s="1"/>
  <c r="GN326" i="1" s="1"/>
  <c r="CY319" i="1"/>
  <c r="X319" i="1" s="1"/>
  <c r="CZ319" i="1"/>
  <c r="Y319" i="1" s="1"/>
  <c r="CP317" i="1"/>
  <c r="O317" i="1" s="1"/>
  <c r="GM317" i="1" s="1"/>
  <c r="GN317" i="1" s="1"/>
  <c r="CY270" i="1"/>
  <c r="X270" i="1" s="1"/>
  <c r="GM270" i="1" s="1"/>
  <c r="GN270" i="1" s="1"/>
  <c r="CZ270" i="1"/>
  <c r="Y270" i="1" s="1"/>
  <c r="CY264" i="1"/>
  <c r="X264" i="1" s="1"/>
  <c r="CZ264" i="1"/>
  <c r="Y264" i="1" s="1"/>
  <c r="CP260" i="1"/>
  <c r="O260" i="1" s="1"/>
  <c r="GM260" i="1" s="1"/>
  <c r="GN260" i="1" s="1"/>
  <c r="CX288" i="3"/>
  <c r="CU285" i="3"/>
  <c r="CX292" i="3"/>
  <c r="CX285" i="3"/>
  <c r="CW287" i="3"/>
  <c r="CW289" i="3"/>
  <c r="CW288" i="3"/>
  <c r="CX273" i="3"/>
  <c r="CU268" i="3"/>
  <c r="CW272" i="3"/>
  <c r="CX275" i="3"/>
  <c r="CX268" i="3"/>
  <c r="CX272" i="3"/>
  <c r="CX274" i="3"/>
  <c r="CV268" i="3"/>
  <c r="AZ273" i="1"/>
  <c r="CQ255" i="1"/>
  <c r="P255" i="1" s="1"/>
  <c r="CP255" i="1" s="1"/>
  <c r="O255" i="1" s="1"/>
  <c r="GM255" i="1" s="1"/>
  <c r="GN255" i="1" s="1"/>
  <c r="S250" i="1"/>
  <c r="AP157" i="1"/>
  <c r="F176" i="1"/>
  <c r="AG167" i="1"/>
  <c r="CY159" i="1"/>
  <c r="X159" i="1" s="1"/>
  <c r="AF167" i="1"/>
  <c r="CZ159" i="1"/>
  <c r="Y159" i="1" s="1"/>
  <c r="CD100" i="1"/>
  <c r="AU117" i="1"/>
  <c r="CP109" i="1"/>
  <c r="O109" i="1" s="1"/>
  <c r="GM109" i="1" s="1"/>
  <c r="GN109" i="1" s="1"/>
  <c r="AH117" i="1"/>
  <c r="AB327" i="1"/>
  <c r="AB326" i="1"/>
  <c r="AB325" i="1"/>
  <c r="CQ323" i="1"/>
  <c r="P323" i="1" s="1"/>
  <c r="CP323" i="1" s="1"/>
  <c r="O323" i="1" s="1"/>
  <c r="GM323" i="1" s="1"/>
  <c r="GN323" i="1" s="1"/>
  <c r="AD323" i="1"/>
  <c r="AB323" i="1" s="1"/>
  <c r="CQ321" i="1"/>
  <c r="P321" i="1" s="1"/>
  <c r="CP321" i="1" s="1"/>
  <c r="O321" i="1" s="1"/>
  <c r="GM321" i="1" s="1"/>
  <c r="GN321" i="1" s="1"/>
  <c r="AD321" i="1"/>
  <c r="AB321" i="1" s="1"/>
  <c r="CQ319" i="1"/>
  <c r="P319" i="1" s="1"/>
  <c r="CP319" i="1" s="1"/>
  <c r="O319" i="1" s="1"/>
  <c r="GM319" i="1" s="1"/>
  <c r="GN319" i="1" s="1"/>
  <c r="AD319" i="1"/>
  <c r="AB319" i="1" s="1"/>
  <c r="AB317" i="1"/>
  <c r="AB316" i="1"/>
  <c r="AQ273" i="1"/>
  <c r="AD271" i="1"/>
  <c r="AB271" i="1" s="1"/>
  <c r="AD270" i="1"/>
  <c r="AB270" i="1" s="1"/>
  <c r="W258" i="1"/>
  <c r="P257" i="1"/>
  <c r="CP257" i="1" s="1"/>
  <c r="O257" i="1" s="1"/>
  <c r="GM257" i="1" s="1"/>
  <c r="GN257" i="1" s="1"/>
  <c r="V250" i="1"/>
  <c r="T250" i="1"/>
  <c r="AO157" i="1"/>
  <c r="F171" i="1"/>
  <c r="GM162" i="1"/>
  <c r="GN162" i="1" s="1"/>
  <c r="CP160" i="1"/>
  <c r="O160" i="1" s="1"/>
  <c r="AC167" i="1"/>
  <c r="CJ167" i="1"/>
  <c r="CP115" i="1"/>
  <c r="O115" i="1" s="1"/>
  <c r="CZ114" i="1"/>
  <c r="Y114" i="1" s="1"/>
  <c r="CY114" i="1"/>
  <c r="X114" i="1" s="1"/>
  <c r="CY90" i="1"/>
  <c r="X90" i="1" s="1"/>
  <c r="CZ90" i="1"/>
  <c r="Y90" i="1" s="1"/>
  <c r="CZ318" i="1"/>
  <c r="Y318" i="1" s="1"/>
  <c r="CU237" i="3"/>
  <c r="CX245" i="3"/>
  <c r="CX253" i="3"/>
  <c r="CW240" i="3"/>
  <c r="CW244" i="3"/>
  <c r="CX247" i="3"/>
  <c r="CX240" i="3"/>
  <c r="CX244" i="3"/>
  <c r="CX252" i="3"/>
  <c r="CX239" i="3"/>
  <c r="CX243" i="3"/>
  <c r="CX246" i="3"/>
  <c r="CX254" i="3"/>
  <c r="AX273" i="1"/>
  <c r="AP273" i="1"/>
  <c r="CZ267" i="1"/>
  <c r="Y267" i="1" s="1"/>
  <c r="I266" i="1"/>
  <c r="R266" i="1" s="1"/>
  <c r="P264" i="1"/>
  <c r="CP264" i="1" s="1"/>
  <c r="O264" i="1" s="1"/>
  <c r="GM264" i="1" s="1"/>
  <c r="GN264" i="1" s="1"/>
  <c r="AB257" i="1"/>
  <c r="AD254" i="1"/>
  <c r="AB254" i="1" s="1"/>
  <c r="S253" i="1"/>
  <c r="CG167" i="1"/>
  <c r="AQ167" i="1"/>
  <c r="CI167" i="1"/>
  <c r="BZ157" i="1"/>
  <c r="CP165" i="1"/>
  <c r="O165" i="1" s="1"/>
  <c r="GM165" i="1" s="1"/>
  <c r="GN165" i="1" s="1"/>
  <c r="AD167" i="1"/>
  <c r="CP110" i="1"/>
  <c r="O110" i="1" s="1"/>
  <c r="GM110" i="1" s="1"/>
  <c r="GN110" i="1" s="1"/>
  <c r="CY102" i="1"/>
  <c r="X102" i="1" s="1"/>
  <c r="CZ102" i="1"/>
  <c r="Y102" i="1" s="1"/>
  <c r="CP94" i="1"/>
  <c r="O94" i="1" s="1"/>
  <c r="CS322" i="1"/>
  <c r="R322" i="1" s="1"/>
  <c r="CY322" i="1" s="1"/>
  <c r="X322" i="1" s="1"/>
  <c r="CS320" i="1"/>
  <c r="R320" i="1" s="1"/>
  <c r="CY320" i="1" s="1"/>
  <c r="X320" i="1" s="1"/>
  <c r="CQ318" i="1"/>
  <c r="P318" i="1" s="1"/>
  <c r="AO273" i="1"/>
  <c r="CQ269" i="1"/>
  <c r="P269" i="1" s="1"/>
  <c r="CP269" i="1" s="1"/>
  <c r="O269" i="1" s="1"/>
  <c r="GM269" i="1" s="1"/>
  <c r="GN269" i="1" s="1"/>
  <c r="CQ268" i="1"/>
  <c r="P268" i="1" s="1"/>
  <c r="CP268" i="1" s="1"/>
  <c r="O268" i="1" s="1"/>
  <c r="GM268" i="1" s="1"/>
  <c r="GN268" i="1" s="1"/>
  <c r="CQ267" i="1"/>
  <c r="P267" i="1" s="1"/>
  <c r="CP267" i="1" s="1"/>
  <c r="O267" i="1" s="1"/>
  <c r="GM267" i="1" s="1"/>
  <c r="GN267" i="1" s="1"/>
  <c r="CS265" i="1"/>
  <c r="R265" i="1" s="1"/>
  <c r="AD260" i="1"/>
  <c r="AD250" i="1"/>
  <c r="CS250" i="1"/>
  <c r="R250" i="1" s="1"/>
  <c r="CP247" i="1"/>
  <c r="O247" i="1" s="1"/>
  <c r="AI167" i="1"/>
  <c r="AI117" i="1"/>
  <c r="CY103" i="1"/>
  <c r="X103" i="1" s="1"/>
  <c r="CZ103" i="1"/>
  <c r="Y103" i="1" s="1"/>
  <c r="CP90" i="1"/>
  <c r="O90" i="1" s="1"/>
  <c r="GM90" i="1" s="1"/>
  <c r="GN90" i="1" s="1"/>
  <c r="CU276" i="3"/>
  <c r="CW278" i="3"/>
  <c r="CX280" i="3"/>
  <c r="CU262" i="3"/>
  <c r="CX266" i="3"/>
  <c r="CX262" i="3"/>
  <c r="CW265" i="3"/>
  <c r="CX265" i="3"/>
  <c r="CX267" i="3"/>
  <c r="CX264" i="3"/>
  <c r="BX313" i="1"/>
  <c r="AB260" i="1"/>
  <c r="CX162" i="3"/>
  <c r="CW164" i="3"/>
  <c r="CX168" i="3"/>
  <c r="CX164" i="3"/>
  <c r="CX163" i="3"/>
  <c r="CU162" i="3"/>
  <c r="CW166" i="3"/>
  <c r="CV162" i="3"/>
  <c r="CX166" i="3"/>
  <c r="CX169" i="3"/>
  <c r="I259" i="1"/>
  <c r="T259" i="1" s="1"/>
  <c r="CP253" i="1"/>
  <c r="O253" i="1" s="1"/>
  <c r="CX140" i="3"/>
  <c r="CU140" i="3"/>
  <c r="CX147" i="3"/>
  <c r="CV140" i="3"/>
  <c r="CX142" i="3"/>
  <c r="CW144" i="3"/>
  <c r="CX144" i="3"/>
  <c r="CW143" i="3"/>
  <c r="CC157" i="1"/>
  <c r="AT167" i="1"/>
  <c r="GM159" i="1"/>
  <c r="GM114" i="1"/>
  <c r="GN114" i="1" s="1"/>
  <c r="CZ108" i="1"/>
  <c r="Y108" i="1" s="1"/>
  <c r="CY108" i="1"/>
  <c r="X108" i="1" s="1"/>
  <c r="AQ117" i="1"/>
  <c r="BZ100" i="1"/>
  <c r="CG117" i="1"/>
  <c r="CP102" i="1"/>
  <c r="O102" i="1" s="1"/>
  <c r="CU340" i="3"/>
  <c r="CV340" i="3"/>
  <c r="CX340" i="3"/>
  <c r="CX342" i="3"/>
  <c r="CQ332" i="1"/>
  <c r="P332" i="1" s="1"/>
  <c r="CP332" i="1" s="1"/>
  <c r="O332" i="1" s="1"/>
  <c r="CX338" i="3"/>
  <c r="CX316" i="3"/>
  <c r="CU315" i="3"/>
  <c r="CW319" i="3"/>
  <c r="CW323" i="3"/>
  <c r="CX332" i="3"/>
  <c r="CX337" i="3"/>
  <c r="CX315" i="3"/>
  <c r="CW318" i="3"/>
  <c r="CW322" i="3"/>
  <c r="CX326" i="3"/>
  <c r="CX334" i="3"/>
  <c r="CX318" i="3"/>
  <c r="CX322" i="3"/>
  <c r="CX333" i="3"/>
  <c r="CQ328" i="1"/>
  <c r="P328" i="1" s="1"/>
  <c r="CP328" i="1" s="1"/>
  <c r="O328" i="1" s="1"/>
  <c r="GM328" i="1" s="1"/>
  <c r="GN328" i="1" s="1"/>
  <c r="CS327" i="1"/>
  <c r="R327" i="1" s="1"/>
  <c r="CS326" i="1"/>
  <c r="R326" i="1" s="1"/>
  <c r="CS325" i="1"/>
  <c r="I325" i="1"/>
  <c r="CQ322" i="1"/>
  <c r="P322" i="1" s="1"/>
  <c r="CP322" i="1" s="1"/>
  <c r="O322" i="1" s="1"/>
  <c r="CQ320" i="1"/>
  <c r="P320" i="1" s="1"/>
  <c r="CP320" i="1" s="1"/>
  <c r="O320" i="1" s="1"/>
  <c r="BC273" i="1"/>
  <c r="CU192" i="3"/>
  <c r="CW196" i="3"/>
  <c r="CW200" i="3"/>
  <c r="CW204" i="3"/>
  <c r="CV192" i="3"/>
  <c r="CX196" i="3"/>
  <c r="CX200" i="3"/>
  <c r="CX192" i="3"/>
  <c r="CW195" i="3"/>
  <c r="CW194" i="3"/>
  <c r="CW198" i="3"/>
  <c r="CW202" i="3"/>
  <c r="CX194" i="3"/>
  <c r="CX198" i="3"/>
  <c r="CX202" i="3"/>
  <c r="CX204" i="3"/>
  <c r="CW199" i="3"/>
  <c r="CX215" i="3"/>
  <c r="CX219" i="3"/>
  <c r="CX207" i="3"/>
  <c r="CX211" i="3"/>
  <c r="CX208" i="3"/>
  <c r="AD259" i="1"/>
  <c r="AB259" i="1" s="1"/>
  <c r="S258" i="1"/>
  <c r="CR256" i="1"/>
  <c r="Q256" i="1" s="1"/>
  <c r="CP256" i="1" s="1"/>
  <c r="O256" i="1" s="1"/>
  <c r="GM256" i="1" s="1"/>
  <c r="GN256" i="1" s="1"/>
  <c r="AB250" i="1"/>
  <c r="AB161" i="1"/>
  <c r="CP112" i="1"/>
  <c r="O112" i="1" s="1"/>
  <c r="GM112" i="1" s="1"/>
  <c r="GN112" i="1" s="1"/>
  <c r="AJ117" i="1"/>
  <c r="I324" i="1"/>
  <c r="P324" i="1" s="1"/>
  <c r="BB273" i="1"/>
  <c r="AT273" i="1"/>
  <c r="T257" i="1"/>
  <c r="AB256" i="1"/>
  <c r="CW151" i="3"/>
  <c r="CX151" i="3"/>
  <c r="CX154" i="3"/>
  <c r="CX153" i="3"/>
  <c r="CX149" i="3"/>
  <c r="CU148" i="3"/>
  <c r="CW152" i="3"/>
  <c r="CX155" i="3"/>
  <c r="I254" i="1"/>
  <c r="CY249" i="1"/>
  <c r="X249" i="1" s="1"/>
  <c r="CY248" i="1"/>
  <c r="X248" i="1" s="1"/>
  <c r="GM248" i="1" s="1"/>
  <c r="GN248" i="1" s="1"/>
  <c r="CY247" i="1"/>
  <c r="X247" i="1" s="1"/>
  <c r="CZ247" i="1"/>
  <c r="Y247" i="1" s="1"/>
  <c r="CP161" i="1"/>
  <c r="O161" i="1" s="1"/>
  <c r="GM161" i="1" s="1"/>
  <c r="GN161" i="1" s="1"/>
  <c r="U160" i="1"/>
  <c r="AH167" i="1" s="1"/>
  <c r="W160" i="1"/>
  <c r="AJ167" i="1" s="1"/>
  <c r="CP108" i="1"/>
  <c r="O108" i="1" s="1"/>
  <c r="GM108" i="1" s="1"/>
  <c r="GO108" i="1" s="1"/>
  <c r="CX230" i="3"/>
  <c r="CU229" i="3"/>
  <c r="CW233" i="3"/>
  <c r="CX236" i="3"/>
  <c r="CX229" i="3"/>
  <c r="CW232" i="3"/>
  <c r="CX232" i="3"/>
  <c r="CR258" i="1"/>
  <c r="Q258" i="1" s="1"/>
  <c r="CR252" i="1"/>
  <c r="Q252" i="1" s="1"/>
  <c r="CP252" i="1" s="1"/>
  <c r="O252" i="1" s="1"/>
  <c r="GM252" i="1" s="1"/>
  <c r="GN252" i="1" s="1"/>
  <c r="I251" i="1"/>
  <c r="S251" i="1" s="1"/>
  <c r="U250" i="1"/>
  <c r="AB247" i="1"/>
  <c r="CP164" i="1"/>
  <c r="O164" i="1" s="1"/>
  <c r="GM164" i="1" s="1"/>
  <c r="GN164" i="1" s="1"/>
  <c r="CY115" i="1"/>
  <c r="X115" i="1" s="1"/>
  <c r="CZ115" i="1"/>
  <c r="Y115" i="1" s="1"/>
  <c r="CY113" i="1"/>
  <c r="X113" i="1" s="1"/>
  <c r="CZ107" i="1"/>
  <c r="Y107" i="1" s="1"/>
  <c r="CY107" i="1"/>
  <c r="X107" i="1" s="1"/>
  <c r="CZ94" i="1"/>
  <c r="Y94" i="1" s="1"/>
  <c r="CY94" i="1"/>
  <c r="X94" i="1" s="1"/>
  <c r="BD167" i="1"/>
  <c r="AP117" i="1"/>
  <c r="AB107" i="1"/>
  <c r="GX104" i="1"/>
  <c r="CJ117" i="1" s="1"/>
  <c r="AB103" i="1"/>
  <c r="P86" i="1"/>
  <c r="Q86" i="1"/>
  <c r="CS81" i="1"/>
  <c r="R81" i="1" s="1"/>
  <c r="CZ81" i="1" s="1"/>
  <c r="Y81" i="1" s="1"/>
  <c r="AD81" i="1"/>
  <c r="AB81" i="1" s="1"/>
  <c r="CU138" i="3"/>
  <c r="CV138" i="3"/>
  <c r="CX138" i="3"/>
  <c r="BC167" i="1"/>
  <c r="AU167" i="1"/>
  <c r="BY157" i="1"/>
  <c r="AO117" i="1"/>
  <c r="AB115" i="1"/>
  <c r="CQ113" i="1"/>
  <c r="P113" i="1" s="1"/>
  <c r="CP113" i="1" s="1"/>
  <c r="O113" i="1" s="1"/>
  <c r="GM113" i="1" s="1"/>
  <c r="GN113" i="1" s="1"/>
  <c r="AD113" i="1"/>
  <c r="AB113" i="1" s="1"/>
  <c r="CS112" i="1"/>
  <c r="R112" i="1" s="1"/>
  <c r="CS111" i="1"/>
  <c r="R111" i="1" s="1"/>
  <c r="CS110" i="1"/>
  <c r="R110" i="1" s="1"/>
  <c r="CS109" i="1"/>
  <c r="R109" i="1" s="1"/>
  <c r="AE117" i="1" s="1"/>
  <c r="AB108" i="1"/>
  <c r="Q95" i="1"/>
  <c r="AD205" i="1" s="1"/>
  <c r="AD78" i="1" s="1"/>
  <c r="P95" i="1"/>
  <c r="CZ92" i="1"/>
  <c r="Y92" i="1" s="1"/>
  <c r="AB90" i="1"/>
  <c r="W87" i="1"/>
  <c r="P87" i="1"/>
  <c r="CP87" i="1" s="1"/>
  <c r="O87" i="1" s="1"/>
  <c r="T86" i="1"/>
  <c r="CR81" i="1"/>
  <c r="Q81" i="1" s="1"/>
  <c r="F54" i="1"/>
  <c r="BC26" i="1"/>
  <c r="CP28" i="1"/>
  <c r="O28" i="1" s="1"/>
  <c r="BB167" i="1"/>
  <c r="BD117" i="1"/>
  <c r="AB93" i="1"/>
  <c r="CQ93" i="1"/>
  <c r="P93" i="1" s="1"/>
  <c r="CP93" i="1" s="1"/>
  <c r="O93" i="1" s="1"/>
  <c r="GM93" i="1" s="1"/>
  <c r="GN93" i="1" s="1"/>
  <c r="CY89" i="1"/>
  <c r="X89" i="1" s="1"/>
  <c r="GM89" i="1" s="1"/>
  <c r="GN89" i="1" s="1"/>
  <c r="AB89" i="1"/>
  <c r="GX86" i="1"/>
  <c r="S86" i="1"/>
  <c r="CY80" i="1"/>
  <c r="X80" i="1" s="1"/>
  <c r="CZ80" i="1"/>
  <c r="Y80" i="1" s="1"/>
  <c r="CS165" i="1"/>
  <c r="R165" i="1" s="1"/>
  <c r="CS164" i="1"/>
  <c r="R164" i="1" s="1"/>
  <c r="CS163" i="1"/>
  <c r="R163" i="1" s="1"/>
  <c r="CS162" i="1"/>
  <c r="R162" i="1" s="1"/>
  <c r="CS161" i="1"/>
  <c r="R161" i="1" s="1"/>
  <c r="CS160" i="1"/>
  <c r="R160" i="1" s="1"/>
  <c r="CY160" i="1" s="1"/>
  <c r="X160" i="1" s="1"/>
  <c r="BC117" i="1"/>
  <c r="T104" i="1"/>
  <c r="AG117" i="1" s="1"/>
  <c r="S104" i="1"/>
  <c r="P104" i="1"/>
  <c r="AC117" i="1" s="1"/>
  <c r="AB94" i="1"/>
  <c r="CP92" i="1"/>
  <c r="O92" i="1" s="1"/>
  <c r="GM92" i="1" s="1"/>
  <c r="GN92" i="1" s="1"/>
  <c r="CR88" i="1"/>
  <c r="Q88" i="1" s="1"/>
  <c r="AD88" i="1"/>
  <c r="AB88" i="1" s="1"/>
  <c r="R86" i="1"/>
  <c r="AB86" i="1"/>
  <c r="CY85" i="1"/>
  <c r="X85" i="1" s="1"/>
  <c r="CZ85" i="1"/>
  <c r="Y85" i="1" s="1"/>
  <c r="CZ84" i="1"/>
  <c r="Y84" i="1" s="1"/>
  <c r="CP82" i="1"/>
  <c r="O82" i="1" s="1"/>
  <c r="GM82" i="1" s="1"/>
  <c r="GN82" i="1" s="1"/>
  <c r="AB82" i="1"/>
  <c r="CP81" i="1"/>
  <c r="O81" i="1" s="1"/>
  <c r="AB80" i="1"/>
  <c r="CY35" i="1"/>
  <c r="X35" i="1" s="1"/>
  <c r="CZ35" i="1"/>
  <c r="Y35" i="1" s="1"/>
  <c r="CP30" i="1"/>
  <c r="O30" i="1" s="1"/>
  <c r="BB117" i="1"/>
  <c r="S95" i="1"/>
  <c r="CP88" i="1"/>
  <c r="O88" i="1" s="1"/>
  <c r="GM88" i="1" s="1"/>
  <c r="GN88" i="1" s="1"/>
  <c r="S87" i="1"/>
  <c r="GM80" i="1"/>
  <c r="GN80" i="1" s="1"/>
  <c r="F57" i="1"/>
  <c r="AU26" i="1"/>
  <c r="CU132" i="3"/>
  <c r="CV132" i="3"/>
  <c r="CX132" i="3"/>
  <c r="CW134" i="3"/>
  <c r="AB104" i="1"/>
  <c r="W95" i="1"/>
  <c r="AJ205" i="1" s="1"/>
  <c r="AJ78" i="1" s="1"/>
  <c r="CY93" i="1"/>
  <c r="X93" i="1" s="1"/>
  <c r="CZ93" i="1"/>
  <c r="Y93" i="1" s="1"/>
  <c r="R87" i="1"/>
  <c r="CP84" i="1"/>
  <c r="O84" i="1" s="1"/>
  <c r="GM84" i="1" s="1"/>
  <c r="GN84" i="1" s="1"/>
  <c r="CY36" i="1"/>
  <c r="X36" i="1" s="1"/>
  <c r="GM36" i="1" s="1"/>
  <c r="GN36" i="1" s="1"/>
  <c r="CZ36" i="1"/>
  <c r="Y36" i="1" s="1"/>
  <c r="GM35" i="1"/>
  <c r="GN35" i="1" s="1"/>
  <c r="CI205" i="1"/>
  <c r="CI78" i="1" s="1"/>
  <c r="CI117" i="1"/>
  <c r="CP105" i="1"/>
  <c r="O105" i="1" s="1"/>
  <c r="GM105" i="1" s="1"/>
  <c r="GN105" i="1" s="1"/>
  <c r="AB102" i="1"/>
  <c r="CP83" i="1"/>
  <c r="O83" i="1" s="1"/>
  <c r="GM83" i="1" s="1"/>
  <c r="GN83" i="1" s="1"/>
  <c r="CQ107" i="1"/>
  <c r="P107" i="1" s="1"/>
  <c r="CP107" i="1" s="1"/>
  <c r="O107" i="1" s="1"/>
  <c r="GM107" i="1" s="1"/>
  <c r="GO107" i="1" s="1"/>
  <c r="CC117" i="1" s="1"/>
  <c r="CP106" i="1"/>
  <c r="O106" i="1" s="1"/>
  <c r="GM106" i="1" s="1"/>
  <c r="GN106" i="1" s="1"/>
  <c r="CR105" i="1"/>
  <c r="Q105" i="1" s="1"/>
  <c r="AD117" i="1" s="1"/>
  <c r="AB105" i="1"/>
  <c r="CP103" i="1"/>
  <c r="O103" i="1" s="1"/>
  <c r="GM103" i="1" s="1"/>
  <c r="GN103" i="1" s="1"/>
  <c r="GX95" i="1"/>
  <c r="CJ205" i="1" s="1"/>
  <c r="CJ78" i="1" s="1"/>
  <c r="CP91" i="1"/>
  <c r="O91" i="1" s="1"/>
  <c r="CY81" i="1"/>
  <c r="X81" i="1" s="1"/>
  <c r="CY33" i="1"/>
  <c r="X33" i="1" s="1"/>
  <c r="CZ33" i="1"/>
  <c r="Y33" i="1" s="1"/>
  <c r="BB38" i="1"/>
  <c r="AT38" i="1"/>
  <c r="CT34" i="1"/>
  <c r="S34" i="1" s="1"/>
  <c r="CQ32" i="1"/>
  <c r="CS30" i="1"/>
  <c r="R30" i="1" s="1"/>
  <c r="CY30" i="1" s="1"/>
  <c r="X30" i="1" s="1"/>
  <c r="CS28" i="1"/>
  <c r="R28" i="1" s="1"/>
  <c r="CY28" i="1" s="1"/>
  <c r="X28" i="1" s="1"/>
  <c r="CL26" i="1"/>
  <c r="CD26" i="1"/>
  <c r="CX491" i="3"/>
  <c r="CV475" i="3"/>
  <c r="CX451" i="3"/>
  <c r="CW435" i="3"/>
  <c r="CX429" i="3"/>
  <c r="CU40" i="3"/>
  <c r="CX40" i="3"/>
  <c r="CX44" i="3"/>
  <c r="CX45" i="3"/>
  <c r="CV40" i="3"/>
  <c r="CU4" i="3"/>
  <c r="CX7" i="3"/>
  <c r="CX6" i="3"/>
  <c r="CX9" i="3"/>
  <c r="CW7" i="3"/>
  <c r="CX4" i="3"/>
  <c r="CU1" i="3"/>
  <c r="CV1" i="3"/>
  <c r="CX1" i="3"/>
  <c r="CX497" i="3"/>
  <c r="DF468" i="3"/>
  <c r="DJ468" i="3" s="1"/>
  <c r="DG468" i="3"/>
  <c r="DH468" i="3"/>
  <c r="DI468" i="3"/>
  <c r="DF465" i="3"/>
  <c r="DG465" i="3"/>
  <c r="DJ465" i="3" s="1"/>
  <c r="DH465" i="3"/>
  <c r="DI465" i="3"/>
  <c r="CX457" i="3"/>
  <c r="CW436" i="3"/>
  <c r="CX425" i="3"/>
  <c r="CX86" i="3"/>
  <c r="CW83" i="3"/>
  <c r="CU81" i="3"/>
  <c r="CW84" i="3"/>
  <c r="CX81" i="3"/>
  <c r="CX84" i="3"/>
  <c r="CX87" i="3"/>
  <c r="CX82" i="3"/>
  <c r="CI38" i="1"/>
  <c r="CU34" i="3"/>
  <c r="CX37" i="3"/>
  <c r="CX36" i="3"/>
  <c r="CX34" i="3"/>
  <c r="CW37" i="3"/>
  <c r="CW39" i="3"/>
  <c r="T28" i="1"/>
  <c r="CX487" i="3"/>
  <c r="DF472" i="3"/>
  <c r="DJ472" i="3" s="1"/>
  <c r="DG472" i="3"/>
  <c r="DH472" i="3"/>
  <c r="DI472" i="3"/>
  <c r="DI469" i="3"/>
  <c r="DF469" i="3"/>
  <c r="DJ469" i="3" s="1"/>
  <c r="DG469" i="3"/>
  <c r="DH469" i="3"/>
  <c r="CX458" i="3"/>
  <c r="CX447" i="3"/>
  <c r="CX426" i="3"/>
  <c r="CW415" i="3"/>
  <c r="CS91" i="1"/>
  <c r="R91" i="1" s="1"/>
  <c r="CY91" i="1" s="1"/>
  <c r="X91" i="1" s="1"/>
  <c r="CQ85" i="1"/>
  <c r="P85" i="1" s="1"/>
  <c r="CP85" i="1" s="1"/>
  <c r="O85" i="1" s="1"/>
  <c r="GM85" i="1" s="1"/>
  <c r="GN85" i="1" s="1"/>
  <c r="CU48" i="3"/>
  <c r="CW52" i="3"/>
  <c r="CX61" i="3"/>
  <c r="CX48" i="3"/>
  <c r="CV48" i="3"/>
  <c r="CW50" i="3"/>
  <c r="CX57" i="3"/>
  <c r="CX63" i="3"/>
  <c r="CX50" i="3"/>
  <c r="CX58" i="3"/>
  <c r="CX65" i="3"/>
  <c r="CX52" i="3"/>
  <c r="CW54" i="3"/>
  <c r="CX54" i="3"/>
  <c r="AQ38" i="1"/>
  <c r="CX26" i="3"/>
  <c r="CU12" i="3"/>
  <c r="CW16" i="3"/>
  <c r="CX22" i="3"/>
  <c r="CV12" i="3"/>
  <c r="CX12" i="3"/>
  <c r="CX14" i="3"/>
  <c r="CX16" i="3"/>
  <c r="CX23" i="3"/>
  <c r="CX19" i="3"/>
  <c r="CW493" i="3"/>
  <c r="CW477" i="3"/>
  <c r="CX453" i="3"/>
  <c r="CX448" i="3"/>
  <c r="CX442" i="3"/>
  <c r="CW421" i="3"/>
  <c r="AX38" i="1"/>
  <c r="AP38" i="1"/>
  <c r="CQ33" i="1"/>
  <c r="P33" i="1" s="1"/>
  <c r="CP33" i="1" s="1"/>
  <c r="O33" i="1" s="1"/>
  <c r="CS29" i="1"/>
  <c r="R29" i="1" s="1"/>
  <c r="CY29" i="1" s="1"/>
  <c r="X29" i="1" s="1"/>
  <c r="CV483" i="3"/>
  <c r="CX454" i="3"/>
  <c r="CW449" i="3"/>
  <c r="CW443" i="3"/>
  <c r="CX427" i="3"/>
  <c r="U90" i="1"/>
  <c r="AO38" i="1"/>
  <c r="CU3" i="3"/>
  <c r="CX3" i="3"/>
  <c r="CV3" i="3"/>
  <c r="CV438" i="3"/>
  <c r="CX67" i="3"/>
  <c r="CX79" i="3"/>
  <c r="CX66" i="3"/>
  <c r="CX76" i="3"/>
  <c r="CX69" i="3"/>
  <c r="CX73" i="3"/>
  <c r="CU66" i="3"/>
  <c r="CV66" i="3"/>
  <c r="CW70" i="3"/>
  <c r="CX75" i="3"/>
  <c r="CX70" i="3"/>
  <c r="BD38" i="1"/>
  <c r="CX29" i="3"/>
  <c r="CX33" i="3"/>
  <c r="CX28" i="3"/>
  <c r="CX32" i="3"/>
  <c r="CU27" i="3"/>
  <c r="CW29" i="3"/>
  <c r="CW31" i="3"/>
  <c r="CW33" i="3"/>
  <c r="I32" i="1"/>
  <c r="S32" i="1" s="1"/>
  <c r="CX495" i="3"/>
  <c r="CX479" i="3"/>
  <c r="CX439" i="3"/>
  <c r="CW423" i="3"/>
  <c r="I31" i="1"/>
  <c r="W31" i="1" s="1"/>
  <c r="W30" i="1"/>
  <c r="CW485" i="3"/>
  <c r="CX480" i="3"/>
  <c r="CX461" i="3"/>
  <c r="CW440" i="3"/>
  <c r="CW434" i="3"/>
  <c r="CX475" i="3"/>
  <c r="DG474" i="3"/>
  <c r="DF471" i="3"/>
  <c r="DJ471" i="3" s="1"/>
  <c r="DG466" i="3"/>
  <c r="CX463" i="3"/>
  <c r="CX413" i="3"/>
  <c r="CX375" i="3"/>
  <c r="CX485" i="3"/>
  <c r="DI467" i="3"/>
  <c r="DF466" i="3"/>
  <c r="DJ466" i="3" s="1"/>
  <c r="DI464" i="3"/>
  <c r="CX415" i="3"/>
  <c r="DI399" i="3"/>
  <c r="DF399" i="3"/>
  <c r="DG399" i="3"/>
  <c r="DJ399" i="3" s="1"/>
  <c r="DH399" i="3"/>
  <c r="CW381" i="3"/>
  <c r="DG370" i="3"/>
  <c r="DH370" i="3"/>
  <c r="DI370" i="3"/>
  <c r="DF370" i="3"/>
  <c r="DJ370" i="3" s="1"/>
  <c r="CW359" i="3"/>
  <c r="CX417" i="3"/>
  <c r="CX387" i="3"/>
  <c r="CW376" i="3"/>
  <c r="CX371" i="3"/>
  <c r="CX365" i="3"/>
  <c r="DG467" i="3"/>
  <c r="DG464" i="3"/>
  <c r="DJ464" i="3" s="1"/>
  <c r="CX449" i="3"/>
  <c r="CX438" i="3"/>
  <c r="CX419" i="3"/>
  <c r="CW407" i="3"/>
  <c r="CW377" i="3"/>
  <c r="CX493" i="3"/>
  <c r="CX483" i="3"/>
  <c r="CX477" i="3"/>
  <c r="DG470" i="3"/>
  <c r="CX434" i="3"/>
  <c r="CX431" i="3"/>
  <c r="CX421" i="3"/>
  <c r="DI407" i="3"/>
  <c r="DH407" i="3"/>
  <c r="CX394" i="3"/>
  <c r="CX383" i="3"/>
  <c r="CX366" i="3"/>
  <c r="CW361" i="3"/>
  <c r="DI471" i="3"/>
  <c r="CX423" i="3"/>
  <c r="CX409" i="3"/>
  <c r="DG406" i="3"/>
  <c r="DJ406" i="3" s="1"/>
  <c r="DF406" i="3"/>
  <c r="CX389" i="3"/>
  <c r="CW373" i="3"/>
  <c r="CX462" i="3"/>
  <c r="CX443" i="3"/>
  <c r="CX435" i="3"/>
  <c r="DI406" i="3"/>
  <c r="CX390" i="3"/>
  <c r="CX379" i="3"/>
  <c r="CX367" i="3"/>
  <c r="CX411" i="3"/>
  <c r="DH406" i="3"/>
  <c r="CW405" i="3"/>
  <c r="CX405" i="3"/>
  <c r="CW385" i="3"/>
  <c r="CX403" i="3"/>
  <c r="DF402" i="3"/>
  <c r="DF398" i="3"/>
  <c r="CV371" i="3"/>
  <c r="DI368" i="3"/>
  <c r="DJ368" i="3" s="1"/>
  <c r="CX363" i="3"/>
  <c r="CV348" i="3"/>
  <c r="CW317" i="3"/>
  <c r="DF312" i="3"/>
  <c r="DJ312" i="3" s="1"/>
  <c r="DG312" i="3"/>
  <c r="DH312" i="3"/>
  <c r="DI312" i="3"/>
  <c r="DH305" i="3"/>
  <c r="DI305" i="3"/>
  <c r="DF305" i="3"/>
  <c r="DJ305" i="3" s="1"/>
  <c r="DG305" i="3"/>
  <c r="CX287" i="3"/>
  <c r="DI404" i="3"/>
  <c r="CX343" i="3"/>
  <c r="DF306" i="3"/>
  <c r="DJ306" i="3" s="1"/>
  <c r="DG306" i="3"/>
  <c r="DH306" i="3"/>
  <c r="DI306" i="3"/>
  <c r="DF294" i="3"/>
  <c r="DG294" i="3"/>
  <c r="DH294" i="3"/>
  <c r="DI294" i="3"/>
  <c r="DJ294" i="3" s="1"/>
  <c r="CX277" i="3"/>
  <c r="DG368" i="3"/>
  <c r="CW352" i="3"/>
  <c r="CW350" i="3"/>
  <c r="CX350" i="3"/>
  <c r="CX327" i="3"/>
  <c r="DH313" i="3"/>
  <c r="DI313" i="3"/>
  <c r="DF313" i="3"/>
  <c r="DJ313" i="3" s="1"/>
  <c r="DG313" i="3"/>
  <c r="CX283" i="3"/>
  <c r="DG404" i="3"/>
  <c r="DJ404" i="3" s="1"/>
  <c r="DG400" i="3"/>
  <c r="DJ400" i="3" s="1"/>
  <c r="CX397" i="3"/>
  <c r="CX369" i="3"/>
  <c r="CX339" i="3"/>
  <c r="CX328" i="3"/>
  <c r="CX323" i="3"/>
  <c r="DF314" i="3"/>
  <c r="DJ314" i="3" s="1"/>
  <c r="DG314" i="3"/>
  <c r="DH314" i="3"/>
  <c r="DI314" i="3"/>
  <c r="CX284" i="3"/>
  <c r="CX278" i="3"/>
  <c r="CX401" i="3"/>
  <c r="CX385" i="3"/>
  <c r="CX381" i="3"/>
  <c r="CX377" i="3"/>
  <c r="CX373" i="3"/>
  <c r="CX354" i="3"/>
  <c r="CX329" i="3"/>
  <c r="CX319" i="3"/>
  <c r="DF298" i="3"/>
  <c r="DG298" i="3"/>
  <c r="DJ298" i="3" s="1"/>
  <c r="DH298" i="3"/>
  <c r="DI298" i="3"/>
  <c r="DI402" i="3"/>
  <c r="DI398" i="3"/>
  <c r="DJ398" i="3" s="1"/>
  <c r="CX359" i="3"/>
  <c r="CX355" i="3"/>
  <c r="CX345" i="3"/>
  <c r="CX335" i="3"/>
  <c r="CW324" i="3"/>
  <c r="CV315" i="3"/>
  <c r="DF303" i="3"/>
  <c r="DJ303" i="3" s="1"/>
  <c r="DG303" i="3"/>
  <c r="DH303" i="3"/>
  <c r="DI303" i="3"/>
  <c r="CX290" i="3"/>
  <c r="CW270" i="3"/>
  <c r="CW346" i="3"/>
  <c r="CW341" i="3"/>
  <c r="CX336" i="3"/>
  <c r="CX330" i="3"/>
  <c r="CW325" i="3"/>
  <c r="CW320" i="3"/>
  <c r="DF304" i="3"/>
  <c r="DJ304" i="3" s="1"/>
  <c r="DG304" i="3"/>
  <c r="DH304" i="3"/>
  <c r="DI304" i="3"/>
  <c r="CX291" i="3"/>
  <c r="CX361" i="3"/>
  <c r="CX357" i="3"/>
  <c r="CX331" i="3"/>
  <c r="CW321" i="3"/>
  <c r="DF311" i="3"/>
  <c r="DJ311" i="3" s="1"/>
  <c r="DG311" i="3"/>
  <c r="DH311" i="3"/>
  <c r="DI311" i="3"/>
  <c r="CX286" i="3"/>
  <c r="CX281" i="3"/>
  <c r="CX346" i="3"/>
  <c r="CX325" i="3"/>
  <c r="CX321" i="3"/>
  <c r="CX317" i="3"/>
  <c r="CX300" i="3"/>
  <c r="CX296" i="3"/>
  <c r="CX293" i="3"/>
  <c r="CW279" i="3"/>
  <c r="CW271" i="3"/>
  <c r="CW241" i="3"/>
  <c r="DF226" i="3"/>
  <c r="DG226" i="3"/>
  <c r="DJ226" i="3" s="1"/>
  <c r="DH226" i="3"/>
  <c r="DI226" i="3"/>
  <c r="DH224" i="3"/>
  <c r="DI224" i="3"/>
  <c r="DF224" i="3"/>
  <c r="DG224" i="3"/>
  <c r="DJ224" i="3" s="1"/>
  <c r="CX220" i="3"/>
  <c r="DG308" i="3"/>
  <c r="DI297" i="3"/>
  <c r="CW242" i="3"/>
  <c r="DG227" i="3"/>
  <c r="DH227" i="3"/>
  <c r="DI227" i="3"/>
  <c r="DF227" i="3"/>
  <c r="DJ227" i="3" s="1"/>
  <c r="DI309" i="3"/>
  <c r="DI301" i="3"/>
  <c r="CX270" i="3"/>
  <c r="CX269" i="3"/>
  <c r="DG256" i="3"/>
  <c r="DH256" i="3"/>
  <c r="DI256" i="3"/>
  <c r="DJ256" i="3" s="1"/>
  <c r="DF256" i="3"/>
  <c r="CW243" i="3"/>
  <c r="CV237" i="3"/>
  <c r="DF228" i="3"/>
  <c r="DJ228" i="3" s="1"/>
  <c r="DG228" i="3"/>
  <c r="DH228" i="3"/>
  <c r="DI228" i="3"/>
  <c r="CX216" i="3"/>
  <c r="CX282" i="3"/>
  <c r="DF258" i="3"/>
  <c r="DJ258" i="3" s="1"/>
  <c r="DG258" i="3"/>
  <c r="DH258" i="3"/>
  <c r="CW257" i="3"/>
  <c r="CX257" i="3"/>
  <c r="CX248" i="3"/>
  <c r="CX238" i="3"/>
  <c r="CX233" i="3"/>
  <c r="CX217" i="3"/>
  <c r="CX348" i="3"/>
  <c r="DG309" i="3"/>
  <c r="DI307" i="3"/>
  <c r="DG301" i="3"/>
  <c r="CX289" i="3"/>
  <c r="CV276" i="3"/>
  <c r="CX276" i="3"/>
  <c r="DG259" i="3"/>
  <c r="DH259" i="3"/>
  <c r="DI259" i="3"/>
  <c r="DF259" i="3"/>
  <c r="DJ259" i="3" s="1"/>
  <c r="CX249" i="3"/>
  <c r="CW239" i="3"/>
  <c r="CV229" i="3"/>
  <c r="CX218" i="3"/>
  <c r="CX212" i="3"/>
  <c r="CX352" i="3"/>
  <c r="CX341" i="3"/>
  <c r="CW264" i="3"/>
  <c r="CV262" i="3"/>
  <c r="DF260" i="3"/>
  <c r="DJ260" i="3" s="1"/>
  <c r="DH260" i="3"/>
  <c r="DI260" i="3"/>
  <c r="CX234" i="3"/>
  <c r="DF222" i="3"/>
  <c r="DG222" i="3"/>
  <c r="DH222" i="3"/>
  <c r="DI222" i="3"/>
  <c r="DJ222" i="3" s="1"/>
  <c r="CX213" i="3"/>
  <c r="CW203" i="3"/>
  <c r="CX324" i="3"/>
  <c r="CX320" i="3"/>
  <c r="DG307" i="3"/>
  <c r="CX299" i="3"/>
  <c r="CX295" i="3"/>
  <c r="CX263" i="3"/>
  <c r="CX250" i="3"/>
  <c r="CX235" i="3"/>
  <c r="CX209" i="3"/>
  <c r="CV285" i="3"/>
  <c r="CX279" i="3"/>
  <c r="CX271" i="3"/>
  <c r="CX251" i="3"/>
  <c r="CX231" i="3"/>
  <c r="CX242" i="3"/>
  <c r="CW231" i="3"/>
  <c r="DI225" i="3"/>
  <c r="CW224" i="3"/>
  <c r="CX214" i="3"/>
  <c r="CX134" i="3"/>
  <c r="CX195" i="3"/>
  <c r="DH190" i="3"/>
  <c r="DI190" i="3"/>
  <c r="DF190" i="3"/>
  <c r="DJ190" i="3" s="1"/>
  <c r="DG190" i="3"/>
  <c r="DH182" i="3"/>
  <c r="DI182" i="3"/>
  <c r="DF182" i="3"/>
  <c r="DJ182" i="3" s="1"/>
  <c r="DG182" i="3"/>
  <c r="CW167" i="3"/>
  <c r="DF160" i="3"/>
  <c r="DJ160" i="3" s="1"/>
  <c r="DG160" i="3"/>
  <c r="DH160" i="3"/>
  <c r="DI160" i="3"/>
  <c r="CW150" i="3"/>
  <c r="CW145" i="3"/>
  <c r="CX203" i="3"/>
  <c r="DF191" i="3"/>
  <c r="DJ191" i="3" s="1"/>
  <c r="DG191" i="3"/>
  <c r="DH191" i="3"/>
  <c r="DI191" i="3"/>
  <c r="DF186" i="3"/>
  <c r="DJ186" i="3" s="1"/>
  <c r="DG186" i="3"/>
  <c r="DH186" i="3"/>
  <c r="DI186" i="3"/>
  <c r="DF183" i="3"/>
  <c r="DJ183" i="3" s="1"/>
  <c r="DG183" i="3"/>
  <c r="DH183" i="3"/>
  <c r="DI183" i="3"/>
  <c r="DF178" i="3"/>
  <c r="DJ178" i="3" s="1"/>
  <c r="DG178" i="3"/>
  <c r="DH178" i="3"/>
  <c r="DI178" i="3"/>
  <c r="DI261" i="3"/>
  <c r="CX146" i="3"/>
  <c r="CX206" i="3"/>
  <c r="CW197" i="3"/>
  <c r="DG187" i="3"/>
  <c r="DH187" i="3"/>
  <c r="DI187" i="3"/>
  <c r="DF187" i="3"/>
  <c r="DJ187" i="3" s="1"/>
  <c r="DG179" i="3"/>
  <c r="DH179" i="3"/>
  <c r="DI179" i="3"/>
  <c r="DF179" i="3"/>
  <c r="DJ179" i="3" s="1"/>
  <c r="CX152" i="3"/>
  <c r="CW142" i="3"/>
  <c r="DG261" i="3"/>
  <c r="CX237" i="3"/>
  <c r="CX223" i="3"/>
  <c r="CX210" i="3"/>
  <c r="CX205" i="3"/>
  <c r="DF174" i="3"/>
  <c r="DG174" i="3"/>
  <c r="DJ174" i="3" s="1"/>
  <c r="DH174" i="3"/>
  <c r="DI174" i="3"/>
  <c r="DF171" i="3"/>
  <c r="DG171" i="3"/>
  <c r="DH171" i="3"/>
  <c r="DI171" i="3"/>
  <c r="DJ171" i="3" s="1"/>
  <c r="CX143" i="3"/>
  <c r="CX241" i="3"/>
  <c r="CX193" i="3"/>
  <c r="CW165" i="3"/>
  <c r="CV148" i="3"/>
  <c r="CW201" i="3"/>
  <c r="CX199" i="3"/>
  <c r="DH130" i="3"/>
  <c r="DI130" i="3"/>
  <c r="DG129" i="3"/>
  <c r="DI129" i="3"/>
  <c r="DF129" i="3"/>
  <c r="DJ129" i="3" s="1"/>
  <c r="DI119" i="3"/>
  <c r="DG119" i="3"/>
  <c r="DH119" i="3"/>
  <c r="DF118" i="3"/>
  <c r="DJ118" i="3" s="1"/>
  <c r="DH118" i="3"/>
  <c r="DI118" i="3"/>
  <c r="DI101" i="3"/>
  <c r="DF101" i="3"/>
  <c r="DJ101" i="3" s="1"/>
  <c r="DG101" i="3"/>
  <c r="DH101" i="3"/>
  <c r="DH90" i="3"/>
  <c r="DI90" i="3"/>
  <c r="DJ90" i="3" s="1"/>
  <c r="DF90" i="3"/>
  <c r="DG90" i="3"/>
  <c r="CX88" i="3"/>
  <c r="DG185" i="3"/>
  <c r="DG177" i="3"/>
  <c r="DJ177" i="3" s="1"/>
  <c r="CX170" i="3"/>
  <c r="DG159" i="3"/>
  <c r="DJ159" i="3" s="1"/>
  <c r="CX156" i="3"/>
  <c r="CX141" i="3"/>
  <c r="DI139" i="3"/>
  <c r="CX137" i="3"/>
  <c r="DG130" i="3"/>
  <c r="DF128" i="3"/>
  <c r="DJ128" i="3" s="1"/>
  <c r="DG128" i="3"/>
  <c r="DF105" i="3"/>
  <c r="DG105" i="3"/>
  <c r="DH105" i="3"/>
  <c r="DI105" i="3"/>
  <c r="DJ105" i="3" s="1"/>
  <c r="DH104" i="3"/>
  <c r="DI104" i="3"/>
  <c r="DJ104" i="3" s="1"/>
  <c r="DF104" i="3"/>
  <c r="DG104" i="3"/>
  <c r="CX72" i="3"/>
  <c r="CX62" i="3"/>
  <c r="DF185" i="3"/>
  <c r="DJ185" i="3" s="1"/>
  <c r="DF177" i="3"/>
  <c r="DF173" i="3"/>
  <c r="CX167" i="3"/>
  <c r="DF159" i="3"/>
  <c r="DH139" i="3"/>
  <c r="DF130" i="3"/>
  <c r="DJ130" i="3" s="1"/>
  <c r="DH129" i="3"/>
  <c r="DI127" i="3"/>
  <c r="DG127" i="3"/>
  <c r="DH127" i="3"/>
  <c r="DF126" i="3"/>
  <c r="DJ126" i="3" s="1"/>
  <c r="DH126" i="3"/>
  <c r="DI126" i="3"/>
  <c r="DI157" i="3"/>
  <c r="DJ157" i="3" s="1"/>
  <c r="CX150" i="3"/>
  <c r="DF139" i="3"/>
  <c r="CX136" i="3"/>
  <c r="CX133" i="3"/>
  <c r="CW133" i="3"/>
  <c r="DI128" i="3"/>
  <c r="DF125" i="3"/>
  <c r="DJ125" i="3" s="1"/>
  <c r="DI125" i="3"/>
  <c r="DF119" i="3"/>
  <c r="DJ119" i="3" s="1"/>
  <c r="DG118" i="3"/>
  <c r="CW68" i="3"/>
  <c r="CW43" i="3"/>
  <c r="DH128" i="3"/>
  <c r="DH125" i="3"/>
  <c r="DH124" i="3"/>
  <c r="DF124" i="3"/>
  <c r="DJ124" i="3" s="1"/>
  <c r="DG124" i="3"/>
  <c r="DH98" i="3"/>
  <c r="DI98" i="3"/>
  <c r="DF98" i="3"/>
  <c r="DG98" i="3"/>
  <c r="DJ98" i="3" s="1"/>
  <c r="CW85" i="3"/>
  <c r="DG189" i="3"/>
  <c r="DG181" i="3"/>
  <c r="DG157" i="3"/>
  <c r="CX135" i="3"/>
  <c r="DF127" i="3"/>
  <c r="DJ127" i="3" s="1"/>
  <c r="DG126" i="3"/>
  <c r="DG125" i="3"/>
  <c r="DG123" i="3"/>
  <c r="DH123" i="3"/>
  <c r="DF99" i="3"/>
  <c r="DJ99" i="3" s="1"/>
  <c r="DG99" i="3"/>
  <c r="DH99" i="3"/>
  <c r="DI99" i="3"/>
  <c r="DH94" i="3"/>
  <c r="DI94" i="3"/>
  <c r="DF94" i="3"/>
  <c r="DG94" i="3"/>
  <c r="DJ94" i="3" s="1"/>
  <c r="CX80" i="3"/>
  <c r="CX201" i="3"/>
  <c r="CX197" i="3"/>
  <c r="DG184" i="3"/>
  <c r="CX176" i="3"/>
  <c r="CX172" i="3"/>
  <c r="CX165" i="3"/>
  <c r="CX158" i="3"/>
  <c r="CX148" i="3"/>
  <c r="DH122" i="3"/>
  <c r="DI122" i="3"/>
  <c r="DG121" i="3"/>
  <c r="DI121" i="3"/>
  <c r="DF121" i="3"/>
  <c r="DJ121" i="3" s="1"/>
  <c r="DF100" i="3"/>
  <c r="DJ100" i="3" s="1"/>
  <c r="DG100" i="3"/>
  <c r="DH100" i="3"/>
  <c r="DI100" i="3"/>
  <c r="CX145" i="3"/>
  <c r="CV137" i="3"/>
  <c r="DG131" i="3"/>
  <c r="DH131" i="3"/>
  <c r="DG122" i="3"/>
  <c r="DF120" i="3"/>
  <c r="DJ120" i="3" s="1"/>
  <c r="DG120" i="3"/>
  <c r="CX116" i="3"/>
  <c r="DF115" i="3"/>
  <c r="CX112" i="3"/>
  <c r="DF111" i="3"/>
  <c r="CX108" i="3"/>
  <c r="DF107" i="3"/>
  <c r="CV104" i="3"/>
  <c r="DF103" i="3"/>
  <c r="DJ103" i="3" s="1"/>
  <c r="CW98" i="3"/>
  <c r="CW94" i="3"/>
  <c r="CW8" i="3"/>
  <c r="DI117" i="3"/>
  <c r="DI113" i="3"/>
  <c r="DI109" i="3"/>
  <c r="CX95" i="3"/>
  <c r="CX91" i="3"/>
  <c r="CX85" i="3"/>
  <c r="CX47" i="3"/>
  <c r="CX10" i="3"/>
  <c r="DI102" i="3"/>
  <c r="DI96" i="3"/>
  <c r="DI92" i="3"/>
  <c r="DI89" i="3"/>
  <c r="DJ89" i="3" s="1"/>
  <c r="CX74" i="3"/>
  <c r="CX53" i="3"/>
  <c r="CW53" i="3"/>
  <c r="CX46" i="3"/>
  <c r="CW36" i="3"/>
  <c r="CX35" i="3"/>
  <c r="CW32" i="3"/>
  <c r="CX20" i="3"/>
  <c r="CX11" i="3"/>
  <c r="CX39" i="3"/>
  <c r="CW38" i="3"/>
  <c r="CV34" i="3"/>
  <c r="CX31" i="3"/>
  <c r="CW30" i="3"/>
  <c r="CX27" i="3"/>
  <c r="CX25" i="3"/>
  <c r="CX24" i="3"/>
  <c r="CX21" i="3"/>
  <c r="CX18" i="3"/>
  <c r="CW17" i="3"/>
  <c r="CX17" i="3"/>
  <c r="CX114" i="3"/>
  <c r="CX110" i="3"/>
  <c r="CX106" i="3"/>
  <c r="DG102" i="3"/>
  <c r="DI97" i="3"/>
  <c r="DG96" i="3"/>
  <c r="DJ96" i="3" s="1"/>
  <c r="DG92" i="3"/>
  <c r="DJ92" i="3" s="1"/>
  <c r="DG89" i="3"/>
  <c r="CX78" i="3"/>
  <c r="CW69" i="3"/>
  <c r="CX60" i="3"/>
  <c r="CW51" i="3"/>
  <c r="CX51" i="3"/>
  <c r="CW44" i="3"/>
  <c r="CX15" i="3"/>
  <c r="CW15" i="3"/>
  <c r="CX13" i="3"/>
  <c r="DI115" i="3"/>
  <c r="DI111" i="3"/>
  <c r="DI107" i="3"/>
  <c r="DI103" i="3"/>
  <c r="CV81" i="3"/>
  <c r="CX64" i="3"/>
  <c r="CX59" i="3"/>
  <c r="CW14" i="3"/>
  <c r="CX5" i="3"/>
  <c r="CW2" i="3"/>
  <c r="CX77" i="3"/>
  <c r="CX68" i="3"/>
  <c r="CX43" i="3"/>
  <c r="CW42" i="3"/>
  <c r="CX41" i="3"/>
  <c r="CW6" i="3"/>
  <c r="CV4" i="3"/>
  <c r="CX83" i="3"/>
  <c r="CW71" i="3"/>
  <c r="CX56" i="3"/>
  <c r="CX55" i="3"/>
  <c r="CX49" i="3"/>
  <c r="CV27" i="3"/>
  <c r="CX2" i="3"/>
  <c r="CX71" i="3"/>
  <c r="CX42" i="3"/>
  <c r="CX38" i="3"/>
  <c r="CX30" i="3"/>
  <c r="CX8" i="3"/>
  <c r="O255" i="6" l="1"/>
  <c r="W45" i="6"/>
  <c r="X127" i="6"/>
  <c r="G20" i="6" s="1"/>
  <c r="J529" i="6"/>
  <c r="W221" i="6"/>
  <c r="J330" i="6"/>
  <c r="P330" i="6" s="1"/>
  <c r="J436" i="6" s="1"/>
  <c r="J618" i="6"/>
  <c r="E29" i="7"/>
  <c r="W296" i="6"/>
  <c r="O296" i="6"/>
  <c r="W343" i="6"/>
  <c r="O343" i="6"/>
  <c r="J307" i="6"/>
  <c r="E75" i="7"/>
  <c r="O597" i="6"/>
  <c r="W597" i="6"/>
  <c r="G29" i="7"/>
  <c r="W111" i="6"/>
  <c r="O111" i="6"/>
  <c r="G151" i="6" s="1"/>
  <c r="H290" i="7"/>
  <c r="G291" i="7" s="1"/>
  <c r="F235" i="7"/>
  <c r="W616" i="6"/>
  <c r="O616" i="6"/>
  <c r="F154" i="7"/>
  <c r="E170" i="7" s="1"/>
  <c r="G201" i="7"/>
  <c r="W385" i="6"/>
  <c r="O385" i="6"/>
  <c r="G276" i="7"/>
  <c r="H149" i="7"/>
  <c r="G170" i="7" s="1"/>
  <c r="W498" i="6"/>
  <c r="O498" i="6"/>
  <c r="G529" i="6" s="1"/>
  <c r="O38" i="6"/>
  <c r="W38" i="6"/>
  <c r="E313" i="7"/>
  <c r="F217" i="7"/>
  <c r="E237" i="7" s="1"/>
  <c r="G114" i="7"/>
  <c r="F160" i="7"/>
  <c r="W401" i="6"/>
  <c r="O401" i="6"/>
  <c r="E55" i="7"/>
  <c r="G313" i="7"/>
  <c r="F183" i="7"/>
  <c r="E201" i="7" s="1"/>
  <c r="W561" i="6"/>
  <c r="O561" i="6"/>
  <c r="W574" i="6"/>
  <c r="O574" i="6"/>
  <c r="G55" i="7"/>
  <c r="J202" i="6"/>
  <c r="G307" i="6"/>
  <c r="G237" i="7"/>
  <c r="F188" i="7"/>
  <c r="O431" i="6"/>
  <c r="W431" i="6"/>
  <c r="CJ478" i="1"/>
  <c r="BA495" i="1"/>
  <c r="AD100" i="1"/>
  <c r="Q117" i="1"/>
  <c r="W167" i="1"/>
  <c r="AJ157" i="1"/>
  <c r="U167" i="1"/>
  <c r="AH157" i="1"/>
  <c r="AG424" i="1"/>
  <c r="T438" i="1"/>
  <c r="AC100" i="1"/>
  <c r="CH117" i="1"/>
  <c r="P117" i="1"/>
  <c r="CE117" i="1"/>
  <c r="CF117" i="1"/>
  <c r="R117" i="1"/>
  <c r="AE100" i="1"/>
  <c r="DG71" i="3"/>
  <c r="DJ71" i="3" s="1"/>
  <c r="DH71" i="3"/>
  <c r="DF71" i="3"/>
  <c r="DI71" i="3"/>
  <c r="DH27" i="3"/>
  <c r="DI27" i="3"/>
  <c r="DJ27" i="3" s="1"/>
  <c r="DG27" i="3"/>
  <c r="DF27" i="3"/>
  <c r="DG2" i="3"/>
  <c r="DJ2" i="3" s="1"/>
  <c r="DH2" i="3"/>
  <c r="DI2" i="3"/>
  <c r="DF2" i="3"/>
  <c r="DG13" i="3"/>
  <c r="DH13" i="3"/>
  <c r="DI13" i="3"/>
  <c r="DJ13" i="3" s="1"/>
  <c r="DF13" i="3"/>
  <c r="DI35" i="3"/>
  <c r="DJ35" i="3" s="1"/>
  <c r="DF35" i="3"/>
  <c r="DH35" i="3"/>
  <c r="DG35" i="3"/>
  <c r="DI108" i="3"/>
  <c r="DF108" i="3"/>
  <c r="DG108" i="3"/>
  <c r="DJ108" i="3" s="1"/>
  <c r="DH108" i="3"/>
  <c r="DG172" i="3"/>
  <c r="DJ172" i="3" s="1"/>
  <c r="DH172" i="3"/>
  <c r="DI172" i="3"/>
  <c r="DF172" i="3"/>
  <c r="DF167" i="3"/>
  <c r="DG167" i="3"/>
  <c r="DJ167" i="3" s="1"/>
  <c r="DH167" i="3"/>
  <c r="DI167" i="3"/>
  <c r="DH49" i="3"/>
  <c r="DI49" i="3"/>
  <c r="DJ49" i="3" s="1"/>
  <c r="DG49" i="3"/>
  <c r="DF49" i="3"/>
  <c r="DH64" i="3"/>
  <c r="DI64" i="3"/>
  <c r="DG64" i="3"/>
  <c r="DF64" i="3"/>
  <c r="DJ64" i="3" s="1"/>
  <c r="DH15" i="3"/>
  <c r="DI15" i="3"/>
  <c r="DG15" i="3"/>
  <c r="DJ15" i="3" s="1"/>
  <c r="DF15" i="3"/>
  <c r="DI46" i="3"/>
  <c r="DH46" i="3"/>
  <c r="DF46" i="3"/>
  <c r="DJ46" i="3" s="1"/>
  <c r="DG46" i="3"/>
  <c r="DF10" i="3"/>
  <c r="DJ10" i="3" s="1"/>
  <c r="DH10" i="3"/>
  <c r="DI10" i="3"/>
  <c r="DG10" i="3"/>
  <c r="DI112" i="3"/>
  <c r="DF112" i="3"/>
  <c r="DG112" i="3"/>
  <c r="DJ112" i="3" s="1"/>
  <c r="DH112" i="3"/>
  <c r="DH136" i="3"/>
  <c r="DG136" i="3"/>
  <c r="DF136" i="3"/>
  <c r="DJ136" i="3" s="1"/>
  <c r="DI136" i="3"/>
  <c r="DG241" i="3"/>
  <c r="DJ241" i="3" s="1"/>
  <c r="DH241" i="3"/>
  <c r="DI241" i="3"/>
  <c r="DF241" i="3"/>
  <c r="DH152" i="3"/>
  <c r="DI152" i="3"/>
  <c r="DF152" i="3"/>
  <c r="DG152" i="3"/>
  <c r="DJ152" i="3" s="1"/>
  <c r="DG320" i="3"/>
  <c r="DJ320" i="3" s="1"/>
  <c r="DH320" i="3"/>
  <c r="DI320" i="3"/>
  <c r="DF320" i="3"/>
  <c r="DG234" i="3"/>
  <c r="DH234" i="3"/>
  <c r="DI234" i="3"/>
  <c r="DF234" i="3"/>
  <c r="DJ234" i="3" s="1"/>
  <c r="DF212" i="3"/>
  <c r="DJ212" i="3" s="1"/>
  <c r="DH212" i="3"/>
  <c r="DI212" i="3"/>
  <c r="DG212" i="3"/>
  <c r="DG217" i="3"/>
  <c r="DH217" i="3"/>
  <c r="DI217" i="3"/>
  <c r="DF217" i="3"/>
  <c r="DJ217" i="3" s="1"/>
  <c r="DH220" i="3"/>
  <c r="DI220" i="3"/>
  <c r="DF220" i="3"/>
  <c r="DJ220" i="3" s="1"/>
  <c r="DG220" i="3"/>
  <c r="DI321" i="3"/>
  <c r="DF321" i="3"/>
  <c r="DG321" i="3"/>
  <c r="DJ321" i="3" s="1"/>
  <c r="DH321" i="3"/>
  <c r="DG335" i="3"/>
  <c r="DH335" i="3"/>
  <c r="DI335" i="3"/>
  <c r="DF335" i="3"/>
  <c r="DJ335" i="3" s="1"/>
  <c r="DF385" i="3"/>
  <c r="DG385" i="3"/>
  <c r="DJ385" i="3" s="1"/>
  <c r="DH385" i="3"/>
  <c r="DI385" i="3"/>
  <c r="DF323" i="3"/>
  <c r="DG323" i="3"/>
  <c r="DJ323" i="3" s="1"/>
  <c r="DH323" i="3"/>
  <c r="DI323" i="3"/>
  <c r="DG462" i="3"/>
  <c r="DH462" i="3"/>
  <c r="DI462" i="3"/>
  <c r="DJ462" i="3" s="1"/>
  <c r="DF462" i="3"/>
  <c r="DF434" i="3"/>
  <c r="DG434" i="3"/>
  <c r="DJ434" i="3" s="1"/>
  <c r="DH434" i="3"/>
  <c r="DI434" i="3"/>
  <c r="DF438" i="3"/>
  <c r="DG438" i="3"/>
  <c r="DH438" i="3"/>
  <c r="DI438" i="3"/>
  <c r="DJ438" i="3" s="1"/>
  <c r="DH417" i="3"/>
  <c r="DF417" i="3"/>
  <c r="DG417" i="3"/>
  <c r="DJ417" i="3" s="1"/>
  <c r="DI417" i="3"/>
  <c r="DI375" i="3"/>
  <c r="DF375" i="3"/>
  <c r="DG375" i="3"/>
  <c r="DJ375" i="3" s="1"/>
  <c r="DH375" i="3"/>
  <c r="DF479" i="3"/>
  <c r="DJ479" i="3" s="1"/>
  <c r="DG479" i="3"/>
  <c r="DH479" i="3"/>
  <c r="DI479" i="3"/>
  <c r="DF28" i="3"/>
  <c r="DG28" i="3"/>
  <c r="DH28" i="3"/>
  <c r="DI28" i="3"/>
  <c r="DJ28" i="3" s="1"/>
  <c r="DI454" i="3"/>
  <c r="DF454" i="3"/>
  <c r="DJ454" i="3" s="1"/>
  <c r="DG454" i="3"/>
  <c r="DH454" i="3"/>
  <c r="DF448" i="3"/>
  <c r="DG448" i="3"/>
  <c r="DJ448" i="3" s="1"/>
  <c r="DH448" i="3"/>
  <c r="DI448" i="3"/>
  <c r="DI12" i="3"/>
  <c r="DJ12" i="3" s="1"/>
  <c r="DF12" i="3"/>
  <c r="DG12" i="3"/>
  <c r="DH12" i="3"/>
  <c r="DI426" i="3"/>
  <c r="DF426" i="3"/>
  <c r="DJ426" i="3" s="1"/>
  <c r="DG426" i="3"/>
  <c r="DH426" i="3"/>
  <c r="DF36" i="3"/>
  <c r="DG36" i="3"/>
  <c r="DJ36" i="3" s="1"/>
  <c r="DH36" i="3"/>
  <c r="DI36" i="3"/>
  <c r="DF1" i="3"/>
  <c r="DG1" i="3"/>
  <c r="DH1" i="3"/>
  <c r="DI1" i="3"/>
  <c r="DJ1" i="3" s="1"/>
  <c r="DH451" i="3"/>
  <c r="DI451" i="3"/>
  <c r="DF451" i="3"/>
  <c r="DG451" i="3"/>
  <c r="DJ451" i="3" s="1"/>
  <c r="CY34" i="1"/>
  <c r="X34" i="1" s="1"/>
  <c r="CZ34" i="1"/>
  <c r="Y34" i="1" s="1"/>
  <c r="DF132" i="3"/>
  <c r="DI132" i="3"/>
  <c r="DJ132" i="3" s="1"/>
  <c r="DG132" i="3"/>
  <c r="DH132" i="3"/>
  <c r="CY95" i="1"/>
  <c r="X95" i="1" s="1"/>
  <c r="CZ95" i="1"/>
  <c r="Y95" i="1" s="1"/>
  <c r="GM81" i="1"/>
  <c r="GN81" i="1" s="1"/>
  <c r="BD100" i="1"/>
  <c r="F142" i="1"/>
  <c r="BD205" i="1"/>
  <c r="CZ30" i="1"/>
  <c r="Y30" i="1" s="1"/>
  <c r="DF229" i="3"/>
  <c r="DG229" i="3"/>
  <c r="DH229" i="3"/>
  <c r="DI229" i="3"/>
  <c r="DJ229" i="3" s="1"/>
  <c r="S254" i="1"/>
  <c r="T254" i="1"/>
  <c r="W117" i="1"/>
  <c r="AJ100" i="1"/>
  <c r="DI208" i="3"/>
  <c r="DF208" i="3"/>
  <c r="DJ208" i="3" s="1"/>
  <c r="DG208" i="3"/>
  <c r="DH208" i="3"/>
  <c r="DI198" i="3"/>
  <c r="DF198" i="3"/>
  <c r="DG198" i="3"/>
  <c r="DJ198" i="3" s="1"/>
  <c r="DH198" i="3"/>
  <c r="DF196" i="3"/>
  <c r="DG196" i="3"/>
  <c r="DJ196" i="3" s="1"/>
  <c r="DH196" i="3"/>
  <c r="DI196" i="3"/>
  <c r="DF318" i="3"/>
  <c r="DG318" i="3"/>
  <c r="DJ318" i="3" s="1"/>
  <c r="DH318" i="3"/>
  <c r="DI318" i="3"/>
  <c r="DF163" i="3"/>
  <c r="DG163" i="3"/>
  <c r="DH163" i="3"/>
  <c r="DI163" i="3"/>
  <c r="DJ163" i="3" s="1"/>
  <c r="DF264" i="3"/>
  <c r="DG264" i="3"/>
  <c r="DJ264" i="3" s="1"/>
  <c r="DH264" i="3"/>
  <c r="DI264" i="3"/>
  <c r="GM247" i="1"/>
  <c r="CY253" i="1"/>
  <c r="X253" i="1" s="1"/>
  <c r="CZ253" i="1"/>
  <c r="Y253" i="1" s="1"/>
  <c r="DF254" i="3"/>
  <c r="DJ254" i="3" s="1"/>
  <c r="DG254" i="3"/>
  <c r="DH254" i="3"/>
  <c r="DI254" i="3"/>
  <c r="DG274" i="3"/>
  <c r="DH274" i="3"/>
  <c r="DI274" i="3"/>
  <c r="DF274" i="3"/>
  <c r="DJ274" i="3" s="1"/>
  <c r="U259" i="1"/>
  <c r="AP313" i="1"/>
  <c r="F349" i="1"/>
  <c r="AU245" i="1"/>
  <c r="F292" i="1"/>
  <c r="DF362" i="3"/>
  <c r="DG362" i="3"/>
  <c r="DJ362" i="3" s="1"/>
  <c r="DH362" i="3"/>
  <c r="DI362" i="3"/>
  <c r="DI432" i="3"/>
  <c r="DJ432" i="3" s="1"/>
  <c r="DG432" i="3"/>
  <c r="DH432" i="3"/>
  <c r="DF432" i="3"/>
  <c r="W254" i="1"/>
  <c r="DF445" i="3"/>
  <c r="DG445" i="3"/>
  <c r="DH445" i="3"/>
  <c r="DI445" i="3"/>
  <c r="DJ445" i="3" s="1"/>
  <c r="DH459" i="3"/>
  <c r="DI459" i="3"/>
  <c r="DF459" i="3"/>
  <c r="DJ459" i="3" s="1"/>
  <c r="DG459" i="3"/>
  <c r="Q266" i="1"/>
  <c r="Q324" i="1"/>
  <c r="DI430" i="3"/>
  <c r="DF430" i="3"/>
  <c r="DJ430" i="3" s="1"/>
  <c r="DG430" i="3"/>
  <c r="DH430" i="3"/>
  <c r="F463" i="1"/>
  <c r="BD424" i="1"/>
  <c r="DF444" i="3"/>
  <c r="DJ444" i="3" s="1"/>
  <c r="DG444" i="3"/>
  <c r="DH444" i="3"/>
  <c r="DI444" i="3"/>
  <c r="CP258" i="1"/>
  <c r="O258" i="1" s="1"/>
  <c r="T324" i="1"/>
  <c r="DH395" i="3"/>
  <c r="DI395" i="3"/>
  <c r="DF395" i="3"/>
  <c r="DJ395" i="3" s="1"/>
  <c r="DG395" i="3"/>
  <c r="AB384" i="1"/>
  <c r="GM382" i="1"/>
  <c r="AK438" i="1"/>
  <c r="T482" i="1"/>
  <c r="AG495" i="1" s="1"/>
  <c r="AU424" i="1"/>
  <c r="F457" i="1"/>
  <c r="T380" i="1"/>
  <c r="F405" i="1"/>
  <c r="AI424" i="1"/>
  <c r="V438" i="1"/>
  <c r="DI498" i="3"/>
  <c r="DF498" i="3"/>
  <c r="DJ498" i="3" s="1"/>
  <c r="DG498" i="3"/>
  <c r="DH498" i="3"/>
  <c r="AE438" i="1"/>
  <c r="S482" i="1"/>
  <c r="DH135" i="3"/>
  <c r="DG135" i="3"/>
  <c r="DI135" i="3"/>
  <c r="DF135" i="3"/>
  <c r="DJ135" i="3" s="1"/>
  <c r="DH141" i="3"/>
  <c r="DF141" i="3"/>
  <c r="DG141" i="3"/>
  <c r="DI141" i="3"/>
  <c r="DJ141" i="3" s="1"/>
  <c r="DI143" i="3"/>
  <c r="DF143" i="3"/>
  <c r="DG143" i="3"/>
  <c r="DJ143" i="3" s="1"/>
  <c r="DH143" i="3"/>
  <c r="DI209" i="3"/>
  <c r="DF209" i="3"/>
  <c r="DJ209" i="3" s="1"/>
  <c r="DG209" i="3"/>
  <c r="DH209" i="3"/>
  <c r="DG324" i="3"/>
  <c r="DJ324" i="3" s="1"/>
  <c r="DH324" i="3"/>
  <c r="DI324" i="3"/>
  <c r="DF324" i="3"/>
  <c r="DF218" i="3"/>
  <c r="DJ218" i="3" s="1"/>
  <c r="DG218" i="3"/>
  <c r="DH218" i="3"/>
  <c r="DI218" i="3"/>
  <c r="DG276" i="3"/>
  <c r="DH276" i="3"/>
  <c r="DF276" i="3"/>
  <c r="DI276" i="3"/>
  <c r="DJ276" i="3" s="1"/>
  <c r="DF233" i="3"/>
  <c r="DG233" i="3"/>
  <c r="DJ233" i="3" s="1"/>
  <c r="DH233" i="3"/>
  <c r="DI233" i="3"/>
  <c r="DH282" i="3"/>
  <c r="DF282" i="3"/>
  <c r="DJ282" i="3" s="1"/>
  <c r="DG282" i="3"/>
  <c r="DI282" i="3"/>
  <c r="DI325" i="3"/>
  <c r="DF325" i="3"/>
  <c r="DG325" i="3"/>
  <c r="DJ325" i="3" s="1"/>
  <c r="DH325" i="3"/>
  <c r="DH290" i="3"/>
  <c r="DI290" i="3"/>
  <c r="DF290" i="3"/>
  <c r="DJ290" i="3" s="1"/>
  <c r="DG290" i="3"/>
  <c r="DG345" i="3"/>
  <c r="DJ345" i="3" s="1"/>
  <c r="DH345" i="3"/>
  <c r="DI345" i="3"/>
  <c r="DF345" i="3"/>
  <c r="DF401" i="3"/>
  <c r="DG401" i="3"/>
  <c r="DJ401" i="3" s="1"/>
  <c r="DH401" i="3"/>
  <c r="DI401" i="3"/>
  <c r="DF328" i="3"/>
  <c r="DJ328" i="3" s="1"/>
  <c r="DG328" i="3"/>
  <c r="DH328" i="3"/>
  <c r="DI328" i="3"/>
  <c r="DF277" i="3"/>
  <c r="DG277" i="3"/>
  <c r="DH277" i="3"/>
  <c r="DI277" i="3"/>
  <c r="DJ277" i="3" s="1"/>
  <c r="DH411" i="3"/>
  <c r="DI411" i="3"/>
  <c r="DF411" i="3"/>
  <c r="DG411" i="3"/>
  <c r="DJ411" i="3" s="1"/>
  <c r="DF366" i="3"/>
  <c r="DJ366" i="3" s="1"/>
  <c r="DG366" i="3"/>
  <c r="DH366" i="3"/>
  <c r="DI366" i="3"/>
  <c r="DF449" i="3"/>
  <c r="DG449" i="3"/>
  <c r="DJ449" i="3" s="1"/>
  <c r="DH449" i="3"/>
  <c r="DI449" i="3"/>
  <c r="DH413" i="3"/>
  <c r="DF413" i="3"/>
  <c r="DG413" i="3"/>
  <c r="DJ413" i="3" s="1"/>
  <c r="DI413" i="3"/>
  <c r="DF461" i="3"/>
  <c r="DJ461" i="3" s="1"/>
  <c r="DG461" i="3"/>
  <c r="DH461" i="3"/>
  <c r="DI461" i="3"/>
  <c r="DF495" i="3"/>
  <c r="DJ495" i="3" s="1"/>
  <c r="DG495" i="3"/>
  <c r="DH495" i="3"/>
  <c r="DI495" i="3"/>
  <c r="DF33" i="3"/>
  <c r="DH33" i="3"/>
  <c r="DI33" i="3"/>
  <c r="DG33" i="3"/>
  <c r="DJ33" i="3" s="1"/>
  <c r="DF73" i="3"/>
  <c r="DJ73" i="3" s="1"/>
  <c r="DI73" i="3"/>
  <c r="DG73" i="3"/>
  <c r="DH73" i="3"/>
  <c r="DF3" i="3"/>
  <c r="DH3" i="3"/>
  <c r="DI3" i="3"/>
  <c r="DJ3" i="3" s="1"/>
  <c r="DG3" i="3"/>
  <c r="DF453" i="3"/>
  <c r="DJ453" i="3" s="1"/>
  <c r="DG453" i="3"/>
  <c r="DH453" i="3"/>
  <c r="DI453" i="3"/>
  <c r="DF52" i="3"/>
  <c r="DG52" i="3"/>
  <c r="DJ52" i="3" s="1"/>
  <c r="DI52" i="3"/>
  <c r="DH52" i="3"/>
  <c r="DF48" i="3"/>
  <c r="DH48" i="3"/>
  <c r="DI48" i="3"/>
  <c r="DJ48" i="3" s="1"/>
  <c r="DG48" i="3"/>
  <c r="DH447" i="3"/>
  <c r="DI447" i="3"/>
  <c r="DF447" i="3"/>
  <c r="DG447" i="3"/>
  <c r="DJ447" i="3" s="1"/>
  <c r="DF37" i="3"/>
  <c r="DH37" i="3"/>
  <c r="DI37" i="3"/>
  <c r="DG37" i="3"/>
  <c r="DJ37" i="3" s="1"/>
  <c r="F56" i="1"/>
  <c r="AT26" i="1"/>
  <c r="BB100" i="1"/>
  <c r="F130" i="1"/>
  <c r="BB205" i="1"/>
  <c r="F180" i="1"/>
  <c r="BB157" i="1"/>
  <c r="AU157" i="1"/>
  <c r="F186" i="1"/>
  <c r="CJ100" i="1"/>
  <c r="BA117" i="1"/>
  <c r="DF236" i="3"/>
  <c r="DJ236" i="3" s="1"/>
  <c r="DG236" i="3"/>
  <c r="DH236" i="3"/>
  <c r="DI236" i="3"/>
  <c r="DI155" i="3"/>
  <c r="DF155" i="3"/>
  <c r="DJ155" i="3" s="1"/>
  <c r="DG155" i="3"/>
  <c r="DH155" i="3"/>
  <c r="DG211" i="3"/>
  <c r="DF211" i="3"/>
  <c r="DJ211" i="3" s="1"/>
  <c r="DH211" i="3"/>
  <c r="DI211" i="3"/>
  <c r="DI194" i="3"/>
  <c r="DF194" i="3"/>
  <c r="DG194" i="3"/>
  <c r="DJ194" i="3" s="1"/>
  <c r="DH194" i="3"/>
  <c r="GX325" i="1"/>
  <c r="W325" i="1"/>
  <c r="DF334" i="3"/>
  <c r="DJ334" i="3" s="1"/>
  <c r="DG334" i="3"/>
  <c r="DH334" i="3"/>
  <c r="DI334" i="3"/>
  <c r="DF144" i="3"/>
  <c r="DG144" i="3"/>
  <c r="DJ144" i="3" s="1"/>
  <c r="DH144" i="3"/>
  <c r="DI144" i="3"/>
  <c r="GM253" i="1"/>
  <c r="GN253" i="1" s="1"/>
  <c r="DF164" i="3"/>
  <c r="DG164" i="3"/>
  <c r="DJ164" i="3" s="1"/>
  <c r="DH164" i="3"/>
  <c r="DI164" i="3"/>
  <c r="DG267" i="3"/>
  <c r="DH267" i="3"/>
  <c r="DI267" i="3"/>
  <c r="DF267" i="3"/>
  <c r="DJ267" i="3" s="1"/>
  <c r="AO245" i="1"/>
  <c r="F277" i="1"/>
  <c r="DF246" i="3"/>
  <c r="DJ246" i="3" s="1"/>
  <c r="DG246" i="3"/>
  <c r="DH246" i="3"/>
  <c r="DI246" i="3"/>
  <c r="AU100" i="1"/>
  <c r="AU205" i="1"/>
  <c r="F136" i="1"/>
  <c r="CY250" i="1"/>
  <c r="X250" i="1" s="1"/>
  <c r="CZ250" i="1"/>
  <c r="Y250" i="1" s="1"/>
  <c r="DF272" i="3"/>
  <c r="DG272" i="3"/>
  <c r="DJ272" i="3" s="1"/>
  <c r="DI272" i="3"/>
  <c r="DH272" i="3"/>
  <c r="DG356" i="3"/>
  <c r="DH356" i="3"/>
  <c r="DI356" i="3"/>
  <c r="DJ356" i="3" s="1"/>
  <c r="DF356" i="3"/>
  <c r="F451" i="1"/>
  <c r="BB424" i="1"/>
  <c r="DF455" i="3"/>
  <c r="DJ455" i="3" s="1"/>
  <c r="DG455" i="3"/>
  <c r="DH455" i="3"/>
  <c r="DI455" i="3"/>
  <c r="DI481" i="3"/>
  <c r="DF481" i="3"/>
  <c r="DJ481" i="3" s="1"/>
  <c r="DG481" i="3"/>
  <c r="DH481" i="3"/>
  <c r="GX324" i="1"/>
  <c r="DG428" i="3"/>
  <c r="DF428" i="3"/>
  <c r="DJ428" i="3" s="1"/>
  <c r="DH428" i="3"/>
  <c r="DI428" i="3"/>
  <c r="DF412" i="3"/>
  <c r="DG412" i="3"/>
  <c r="DJ412" i="3" s="1"/>
  <c r="DH412" i="3"/>
  <c r="DI412" i="3"/>
  <c r="DF420" i="3"/>
  <c r="DH420" i="3"/>
  <c r="DI420" i="3"/>
  <c r="DG420" i="3"/>
  <c r="DJ420" i="3" s="1"/>
  <c r="DF441" i="3"/>
  <c r="DG441" i="3"/>
  <c r="DH441" i="3"/>
  <c r="DI441" i="3"/>
  <c r="DJ441" i="3" s="1"/>
  <c r="U325" i="1"/>
  <c r="CI380" i="1"/>
  <c r="AZ384" i="1"/>
  <c r="DF396" i="3"/>
  <c r="DJ396" i="3" s="1"/>
  <c r="DG396" i="3"/>
  <c r="DH396" i="3"/>
  <c r="DI396" i="3"/>
  <c r="CE384" i="1"/>
  <c r="CF384" i="1"/>
  <c r="CH384" i="1"/>
  <c r="AC380" i="1"/>
  <c r="P384" i="1"/>
  <c r="U482" i="1"/>
  <c r="AH495" i="1" s="1"/>
  <c r="Q380" i="1"/>
  <c r="F396" i="1"/>
  <c r="F414" i="1" s="1"/>
  <c r="F398" i="1"/>
  <c r="R380" i="1"/>
  <c r="Q438" i="1"/>
  <c r="AD424" i="1"/>
  <c r="Q482" i="1"/>
  <c r="AD495" i="1" s="1"/>
  <c r="DF496" i="3"/>
  <c r="DG496" i="3"/>
  <c r="DH496" i="3"/>
  <c r="DI496" i="3"/>
  <c r="DJ496" i="3" s="1"/>
  <c r="DG8" i="3"/>
  <c r="DJ8" i="3" s="1"/>
  <c r="DH8" i="3"/>
  <c r="DF8" i="3"/>
  <c r="DI8" i="3"/>
  <c r="DG47" i="3"/>
  <c r="DH47" i="3"/>
  <c r="DF47" i="3"/>
  <c r="DJ47" i="3" s="1"/>
  <c r="DI47" i="3"/>
  <c r="DH145" i="3"/>
  <c r="DG145" i="3"/>
  <c r="DJ145" i="3" s="1"/>
  <c r="DI145" i="3"/>
  <c r="DF145" i="3"/>
  <c r="DG30" i="3"/>
  <c r="DJ30" i="3" s="1"/>
  <c r="DH30" i="3"/>
  <c r="DF30" i="3"/>
  <c r="DI30" i="3"/>
  <c r="DH21" i="3"/>
  <c r="DI21" i="3"/>
  <c r="DG21" i="3"/>
  <c r="DF21" i="3"/>
  <c r="DJ21" i="3" s="1"/>
  <c r="DG201" i="3"/>
  <c r="DJ201" i="3" s="1"/>
  <c r="DH201" i="3"/>
  <c r="DI201" i="3"/>
  <c r="DF201" i="3"/>
  <c r="DH206" i="3"/>
  <c r="DI206" i="3"/>
  <c r="DF206" i="3"/>
  <c r="DJ206" i="3" s="1"/>
  <c r="DG206" i="3"/>
  <c r="DF235" i="3"/>
  <c r="DJ235" i="3" s="1"/>
  <c r="DG235" i="3"/>
  <c r="DH235" i="3"/>
  <c r="DI235" i="3"/>
  <c r="DI238" i="3"/>
  <c r="DJ238" i="3" s="1"/>
  <c r="DF238" i="3"/>
  <c r="DG238" i="3"/>
  <c r="DH238" i="3"/>
  <c r="DF216" i="3"/>
  <c r="DJ216" i="3" s="1"/>
  <c r="DG216" i="3"/>
  <c r="DH216" i="3"/>
  <c r="DI216" i="3"/>
  <c r="DI346" i="3"/>
  <c r="DF346" i="3"/>
  <c r="DG346" i="3"/>
  <c r="DJ346" i="3" s="1"/>
  <c r="DH346" i="3"/>
  <c r="DF331" i="3"/>
  <c r="DJ331" i="3" s="1"/>
  <c r="DG331" i="3"/>
  <c r="DH331" i="3"/>
  <c r="DI331" i="3"/>
  <c r="DF355" i="3"/>
  <c r="DJ355" i="3" s="1"/>
  <c r="DG355" i="3"/>
  <c r="DH355" i="3"/>
  <c r="DI355" i="3"/>
  <c r="DF319" i="3"/>
  <c r="DG319" i="3"/>
  <c r="DJ319" i="3" s="1"/>
  <c r="DH319" i="3"/>
  <c r="DI319" i="3"/>
  <c r="DF278" i="3"/>
  <c r="DG278" i="3"/>
  <c r="DJ278" i="3" s="1"/>
  <c r="DH278" i="3"/>
  <c r="DI278" i="3"/>
  <c r="DF339" i="3"/>
  <c r="DJ339" i="3" s="1"/>
  <c r="DG339" i="3"/>
  <c r="DH339" i="3"/>
  <c r="DI339" i="3"/>
  <c r="DF343" i="3"/>
  <c r="DG343" i="3"/>
  <c r="DH343" i="3"/>
  <c r="DI343" i="3"/>
  <c r="DJ343" i="3" s="1"/>
  <c r="DG367" i="3"/>
  <c r="DH367" i="3"/>
  <c r="DI367" i="3"/>
  <c r="DF367" i="3"/>
  <c r="DJ367" i="3" s="1"/>
  <c r="DF389" i="3"/>
  <c r="DJ389" i="3" s="1"/>
  <c r="DG389" i="3"/>
  <c r="DH389" i="3"/>
  <c r="DI389" i="3"/>
  <c r="DI383" i="3"/>
  <c r="DF383" i="3"/>
  <c r="DG383" i="3"/>
  <c r="DJ383" i="3" s="1"/>
  <c r="DH383" i="3"/>
  <c r="DF477" i="3"/>
  <c r="DG477" i="3"/>
  <c r="DJ477" i="3" s="1"/>
  <c r="DH477" i="3"/>
  <c r="DI477" i="3"/>
  <c r="DI463" i="3"/>
  <c r="DF463" i="3"/>
  <c r="DG463" i="3"/>
  <c r="DJ463" i="3" s="1"/>
  <c r="DH463" i="3"/>
  <c r="DF480" i="3"/>
  <c r="DJ480" i="3" s="1"/>
  <c r="DG480" i="3"/>
  <c r="DH480" i="3"/>
  <c r="DI480" i="3"/>
  <c r="DF29" i="3"/>
  <c r="DH29" i="3"/>
  <c r="DI29" i="3"/>
  <c r="DG29" i="3"/>
  <c r="DJ29" i="3" s="1"/>
  <c r="DG69" i="3"/>
  <c r="DJ69" i="3" s="1"/>
  <c r="DF69" i="3"/>
  <c r="DH69" i="3"/>
  <c r="DI69" i="3"/>
  <c r="DF22" i="3"/>
  <c r="DJ22" i="3" s="1"/>
  <c r="DG22" i="3"/>
  <c r="DH22" i="3"/>
  <c r="DI22" i="3"/>
  <c r="DG65" i="3"/>
  <c r="DF65" i="3"/>
  <c r="DJ65" i="3" s="1"/>
  <c r="DH65" i="3"/>
  <c r="DI65" i="3"/>
  <c r="DG61" i="3"/>
  <c r="DH61" i="3"/>
  <c r="DF61" i="3"/>
  <c r="DJ61" i="3" s="1"/>
  <c r="DI61" i="3"/>
  <c r="DF458" i="3"/>
  <c r="DJ458" i="3" s="1"/>
  <c r="DG458" i="3"/>
  <c r="DH458" i="3"/>
  <c r="DI458" i="3"/>
  <c r="DF45" i="3"/>
  <c r="DJ45" i="3" s="1"/>
  <c r="DG45" i="3"/>
  <c r="DI45" i="3"/>
  <c r="DH45" i="3"/>
  <c r="DF491" i="3"/>
  <c r="DJ491" i="3" s="1"/>
  <c r="DG491" i="3"/>
  <c r="DH491" i="3"/>
  <c r="DI491" i="3"/>
  <c r="BB26" i="1"/>
  <c r="F51" i="1"/>
  <c r="BB533" i="1"/>
  <c r="CZ29" i="1"/>
  <c r="Y29" i="1" s="1"/>
  <c r="GM29" i="1" s="1"/>
  <c r="GN29" i="1" s="1"/>
  <c r="CI100" i="1"/>
  <c r="AZ117" i="1"/>
  <c r="GM30" i="1"/>
  <c r="GN30" i="1" s="1"/>
  <c r="CY86" i="1"/>
  <c r="X86" i="1" s="1"/>
  <c r="CZ86" i="1"/>
  <c r="Y86" i="1" s="1"/>
  <c r="BC157" i="1"/>
  <c r="F183" i="1"/>
  <c r="P31" i="1"/>
  <c r="T251" i="1"/>
  <c r="AG273" i="1" s="1"/>
  <c r="GX251" i="1"/>
  <c r="DF207" i="3"/>
  <c r="DJ207" i="3" s="1"/>
  <c r="DG207" i="3"/>
  <c r="DH207" i="3"/>
  <c r="DI207" i="3"/>
  <c r="R325" i="1"/>
  <c r="DF326" i="3"/>
  <c r="DJ326" i="3" s="1"/>
  <c r="DG326" i="3"/>
  <c r="DH326" i="3"/>
  <c r="DI326" i="3"/>
  <c r="AB167" i="1"/>
  <c r="GX259" i="1"/>
  <c r="S259" i="1"/>
  <c r="W259" i="1"/>
  <c r="DF168" i="3"/>
  <c r="DJ168" i="3" s="1"/>
  <c r="DG168" i="3"/>
  <c r="DH168" i="3"/>
  <c r="DI168" i="3"/>
  <c r="DF265" i="3"/>
  <c r="DG265" i="3"/>
  <c r="DJ265" i="3" s="1"/>
  <c r="DH265" i="3"/>
  <c r="DI265" i="3"/>
  <c r="CP318" i="1"/>
  <c r="O318" i="1" s="1"/>
  <c r="GM318" i="1" s="1"/>
  <c r="GN318" i="1" s="1"/>
  <c r="Q167" i="1"/>
  <c r="AD157" i="1"/>
  <c r="DF243" i="3"/>
  <c r="DG243" i="3"/>
  <c r="DJ243" i="3" s="1"/>
  <c r="DH243" i="3"/>
  <c r="DI243" i="3"/>
  <c r="DH253" i="3"/>
  <c r="DI253" i="3"/>
  <c r="DF253" i="3"/>
  <c r="DJ253" i="3" s="1"/>
  <c r="DG253" i="3"/>
  <c r="AQ245" i="1"/>
  <c r="F283" i="1"/>
  <c r="W251" i="1"/>
  <c r="DF268" i="3"/>
  <c r="DH268" i="3"/>
  <c r="DG268" i="3"/>
  <c r="DI268" i="3"/>
  <c r="DJ268" i="3" s="1"/>
  <c r="DG285" i="3"/>
  <c r="DF285" i="3"/>
  <c r="DH285" i="3"/>
  <c r="DI285" i="3"/>
  <c r="DJ285" i="3" s="1"/>
  <c r="DF347" i="3"/>
  <c r="DJ347" i="3" s="1"/>
  <c r="DG347" i="3"/>
  <c r="DH347" i="3"/>
  <c r="DI347" i="3"/>
  <c r="V482" i="1"/>
  <c r="AI495" i="1" s="1"/>
  <c r="W482" i="1"/>
  <c r="AJ495" i="1" s="1"/>
  <c r="DF364" i="3"/>
  <c r="DG364" i="3"/>
  <c r="DJ364" i="3" s="1"/>
  <c r="DH364" i="3"/>
  <c r="DI364" i="3"/>
  <c r="U254" i="1"/>
  <c r="CY265" i="1"/>
  <c r="X265" i="1" s="1"/>
  <c r="CZ265" i="1"/>
  <c r="Y265" i="1" s="1"/>
  <c r="DF476" i="3"/>
  <c r="DG476" i="3"/>
  <c r="DJ476" i="3" s="1"/>
  <c r="DH476" i="3"/>
  <c r="DI476" i="3"/>
  <c r="DH353" i="3"/>
  <c r="DI353" i="3"/>
  <c r="DF353" i="3"/>
  <c r="DG353" i="3"/>
  <c r="DJ353" i="3" s="1"/>
  <c r="Q325" i="1"/>
  <c r="GM315" i="1"/>
  <c r="AC438" i="1"/>
  <c r="CP426" i="1"/>
  <c r="O426" i="1" s="1"/>
  <c r="DF388" i="3"/>
  <c r="DG388" i="3"/>
  <c r="DJ388" i="3" s="1"/>
  <c r="DH388" i="3"/>
  <c r="DI388" i="3"/>
  <c r="F394" i="1"/>
  <c r="AQ380" i="1"/>
  <c r="BA438" i="1"/>
  <c r="CJ424" i="1"/>
  <c r="AZ438" i="1"/>
  <c r="CI424" i="1"/>
  <c r="CZ434" i="1"/>
  <c r="Y434" i="1" s="1"/>
  <c r="AL380" i="1"/>
  <c r="Y384" i="1"/>
  <c r="GM484" i="1"/>
  <c r="GN484" i="1" s="1"/>
  <c r="P482" i="1"/>
  <c r="GM485" i="1"/>
  <c r="GN485" i="1" s="1"/>
  <c r="DH484" i="3"/>
  <c r="DI484" i="3"/>
  <c r="DJ484" i="3" s="1"/>
  <c r="DF484" i="3"/>
  <c r="DG484" i="3"/>
  <c r="DI43" i="3"/>
  <c r="DH43" i="3"/>
  <c r="DF43" i="3"/>
  <c r="DG43" i="3"/>
  <c r="DJ43" i="3" s="1"/>
  <c r="DG18" i="3"/>
  <c r="DH18" i="3"/>
  <c r="DF18" i="3"/>
  <c r="DJ18" i="3" s="1"/>
  <c r="DI18" i="3"/>
  <c r="DG197" i="3"/>
  <c r="DJ197" i="3" s="1"/>
  <c r="DH197" i="3"/>
  <c r="DI197" i="3"/>
  <c r="DF197" i="3"/>
  <c r="DI68" i="3"/>
  <c r="DH68" i="3"/>
  <c r="DF68" i="3"/>
  <c r="DG68" i="3"/>
  <c r="DJ68" i="3" s="1"/>
  <c r="DH53" i="3"/>
  <c r="DI53" i="3"/>
  <c r="DG53" i="3"/>
  <c r="DJ53" i="3" s="1"/>
  <c r="DF53" i="3"/>
  <c r="DI116" i="3"/>
  <c r="DF116" i="3"/>
  <c r="DG116" i="3"/>
  <c r="DJ116" i="3" s="1"/>
  <c r="DH116" i="3"/>
  <c r="DF150" i="3"/>
  <c r="DG150" i="3"/>
  <c r="DJ150" i="3" s="1"/>
  <c r="DH150" i="3"/>
  <c r="DI150" i="3"/>
  <c r="DF62" i="3"/>
  <c r="DJ62" i="3" s="1"/>
  <c r="DI62" i="3"/>
  <c r="DG62" i="3"/>
  <c r="DH62" i="3"/>
  <c r="DF156" i="3"/>
  <c r="DG156" i="3"/>
  <c r="DH156" i="3"/>
  <c r="DI156" i="3"/>
  <c r="DJ156" i="3" s="1"/>
  <c r="DH205" i="3"/>
  <c r="DI205" i="3"/>
  <c r="DF205" i="3"/>
  <c r="DJ205" i="3" s="1"/>
  <c r="DG205" i="3"/>
  <c r="DG38" i="3"/>
  <c r="DJ38" i="3" s="1"/>
  <c r="DH38" i="3"/>
  <c r="DF38" i="3"/>
  <c r="DI38" i="3"/>
  <c r="DI77" i="3"/>
  <c r="DG77" i="3"/>
  <c r="DH77" i="3"/>
  <c r="DF77" i="3"/>
  <c r="DJ77" i="3" s="1"/>
  <c r="DI24" i="3"/>
  <c r="DF24" i="3"/>
  <c r="DJ24" i="3" s="1"/>
  <c r="DH24" i="3"/>
  <c r="DG24" i="3"/>
  <c r="DH11" i="3"/>
  <c r="DI11" i="3"/>
  <c r="DF11" i="3"/>
  <c r="DJ11" i="3" s="1"/>
  <c r="DG11" i="3"/>
  <c r="DH74" i="3"/>
  <c r="DI74" i="3"/>
  <c r="DG74" i="3"/>
  <c r="DF74" i="3"/>
  <c r="DJ74" i="3" s="1"/>
  <c r="DF91" i="3"/>
  <c r="DG91" i="3"/>
  <c r="DJ91" i="3" s="1"/>
  <c r="DH91" i="3"/>
  <c r="DI91" i="3"/>
  <c r="DG148" i="3"/>
  <c r="DH148" i="3"/>
  <c r="DI148" i="3"/>
  <c r="DJ148" i="3" s="1"/>
  <c r="DF148" i="3"/>
  <c r="DF80" i="3"/>
  <c r="DJ80" i="3" s="1"/>
  <c r="DI80" i="3"/>
  <c r="DG80" i="3"/>
  <c r="DH80" i="3"/>
  <c r="DF72" i="3"/>
  <c r="DJ72" i="3" s="1"/>
  <c r="DI72" i="3"/>
  <c r="DG72" i="3"/>
  <c r="DH72" i="3"/>
  <c r="DF199" i="3"/>
  <c r="DH199" i="3"/>
  <c r="DI199" i="3"/>
  <c r="DG199" i="3"/>
  <c r="DJ199" i="3" s="1"/>
  <c r="DH210" i="3"/>
  <c r="DG210" i="3"/>
  <c r="DI210" i="3"/>
  <c r="DF210" i="3"/>
  <c r="DJ210" i="3" s="1"/>
  <c r="DF146" i="3"/>
  <c r="DJ146" i="3" s="1"/>
  <c r="DG146" i="3"/>
  <c r="DH146" i="3"/>
  <c r="DI146" i="3"/>
  <c r="DI242" i="3"/>
  <c r="DF242" i="3"/>
  <c r="DG242" i="3"/>
  <c r="DJ242" i="3" s="1"/>
  <c r="DH242" i="3"/>
  <c r="DG250" i="3"/>
  <c r="DH250" i="3"/>
  <c r="DI250" i="3"/>
  <c r="DF250" i="3"/>
  <c r="DJ250" i="3" s="1"/>
  <c r="DI213" i="3"/>
  <c r="DF213" i="3"/>
  <c r="DJ213" i="3" s="1"/>
  <c r="DG213" i="3"/>
  <c r="DH213" i="3"/>
  <c r="DH289" i="3"/>
  <c r="DF289" i="3"/>
  <c r="DG289" i="3"/>
  <c r="DJ289" i="3" s="1"/>
  <c r="DI289" i="3"/>
  <c r="DI248" i="3"/>
  <c r="DF248" i="3"/>
  <c r="DJ248" i="3" s="1"/>
  <c r="DG248" i="3"/>
  <c r="DH248" i="3"/>
  <c r="DH281" i="3"/>
  <c r="DI281" i="3"/>
  <c r="DF281" i="3"/>
  <c r="DJ281" i="3" s="1"/>
  <c r="DG281" i="3"/>
  <c r="DH357" i="3"/>
  <c r="DI357" i="3"/>
  <c r="DJ357" i="3" s="1"/>
  <c r="DF357" i="3"/>
  <c r="DG357" i="3"/>
  <c r="DH359" i="3"/>
  <c r="DI359" i="3"/>
  <c r="DF359" i="3"/>
  <c r="DG359" i="3"/>
  <c r="DJ359" i="3" s="1"/>
  <c r="DF329" i="3"/>
  <c r="DJ329" i="3" s="1"/>
  <c r="DG329" i="3"/>
  <c r="DH329" i="3"/>
  <c r="DI329" i="3"/>
  <c r="DF284" i="3"/>
  <c r="DJ284" i="3" s="1"/>
  <c r="DG284" i="3"/>
  <c r="DH284" i="3"/>
  <c r="DI284" i="3"/>
  <c r="DF369" i="3"/>
  <c r="DG369" i="3"/>
  <c r="DJ369" i="3" s="1"/>
  <c r="DH369" i="3"/>
  <c r="DI369" i="3"/>
  <c r="DI379" i="3"/>
  <c r="DF379" i="3"/>
  <c r="DG379" i="3"/>
  <c r="DJ379" i="3" s="1"/>
  <c r="DH379" i="3"/>
  <c r="DF394" i="3"/>
  <c r="DJ394" i="3" s="1"/>
  <c r="DG394" i="3"/>
  <c r="DH394" i="3"/>
  <c r="DI394" i="3"/>
  <c r="DF483" i="3"/>
  <c r="DG483" i="3"/>
  <c r="DH483" i="3"/>
  <c r="DI483" i="3"/>
  <c r="DJ483" i="3" s="1"/>
  <c r="DH415" i="3"/>
  <c r="DF415" i="3"/>
  <c r="DG415" i="3"/>
  <c r="DJ415" i="3" s="1"/>
  <c r="DI415" i="3"/>
  <c r="F63" i="1"/>
  <c r="BD26" i="1"/>
  <c r="DF76" i="3"/>
  <c r="DJ76" i="3" s="1"/>
  <c r="DG76" i="3"/>
  <c r="DH76" i="3"/>
  <c r="DI76" i="3"/>
  <c r="F42" i="1"/>
  <c r="AO26" i="1"/>
  <c r="GM33" i="1"/>
  <c r="GN33" i="1" s="1"/>
  <c r="DF58" i="3"/>
  <c r="DJ58" i="3" s="1"/>
  <c r="DG58" i="3"/>
  <c r="DI58" i="3"/>
  <c r="DH58" i="3"/>
  <c r="DF487" i="3"/>
  <c r="DG487" i="3"/>
  <c r="DJ487" i="3" s="1"/>
  <c r="DH487" i="3"/>
  <c r="DI487" i="3"/>
  <c r="CI26" i="1"/>
  <c r="AZ38" i="1"/>
  <c r="DG86" i="3"/>
  <c r="DH86" i="3"/>
  <c r="DI86" i="3"/>
  <c r="DF86" i="3"/>
  <c r="DJ86" i="3" s="1"/>
  <c r="DF4" i="3"/>
  <c r="DG4" i="3"/>
  <c r="DI4" i="3"/>
  <c r="DJ4" i="3" s="1"/>
  <c r="DH4" i="3"/>
  <c r="DF44" i="3"/>
  <c r="DG44" i="3"/>
  <c r="DJ44" i="3" s="1"/>
  <c r="DH44" i="3"/>
  <c r="DI44" i="3"/>
  <c r="Q31" i="1"/>
  <c r="CY87" i="1"/>
  <c r="X87" i="1" s="1"/>
  <c r="GM87" i="1" s="1"/>
  <c r="GN87" i="1" s="1"/>
  <c r="CZ87" i="1"/>
  <c r="Y87" i="1" s="1"/>
  <c r="U31" i="1"/>
  <c r="DI138" i="3"/>
  <c r="DJ138" i="3" s="1"/>
  <c r="DF138" i="3"/>
  <c r="DG138" i="3"/>
  <c r="DH138" i="3"/>
  <c r="AP100" i="1"/>
  <c r="F126" i="1"/>
  <c r="AP205" i="1"/>
  <c r="P251" i="1"/>
  <c r="DF219" i="3"/>
  <c r="DJ219" i="3" s="1"/>
  <c r="DG219" i="3"/>
  <c r="DH219" i="3"/>
  <c r="DI219" i="3"/>
  <c r="DG316" i="3"/>
  <c r="DH316" i="3"/>
  <c r="DI316" i="3"/>
  <c r="DJ316" i="3" s="1"/>
  <c r="DF316" i="3"/>
  <c r="GM102" i="1"/>
  <c r="GN159" i="1"/>
  <c r="DF142" i="3"/>
  <c r="DG142" i="3"/>
  <c r="DJ142" i="3" s="1"/>
  <c r="DH142" i="3"/>
  <c r="DI142" i="3"/>
  <c r="DI169" i="3"/>
  <c r="DF169" i="3"/>
  <c r="DJ169" i="3" s="1"/>
  <c r="DG169" i="3"/>
  <c r="DH169" i="3"/>
  <c r="DF239" i="3"/>
  <c r="DG239" i="3"/>
  <c r="DJ239" i="3" s="1"/>
  <c r="DH239" i="3"/>
  <c r="DI239" i="3"/>
  <c r="DH245" i="3"/>
  <c r="DI245" i="3"/>
  <c r="DF245" i="3"/>
  <c r="DJ245" i="3" s="1"/>
  <c r="DG245" i="3"/>
  <c r="GM115" i="1"/>
  <c r="GN115" i="1" s="1"/>
  <c r="DF275" i="3"/>
  <c r="DJ275" i="3" s="1"/>
  <c r="DG275" i="3"/>
  <c r="DH275" i="3"/>
  <c r="DI275" i="3"/>
  <c r="DI292" i="3"/>
  <c r="DG292" i="3"/>
  <c r="DH292" i="3"/>
  <c r="DF292" i="3"/>
  <c r="DJ292" i="3" s="1"/>
  <c r="DI436" i="3"/>
  <c r="DF436" i="3"/>
  <c r="DG436" i="3"/>
  <c r="DJ436" i="3" s="1"/>
  <c r="DH436" i="3"/>
  <c r="AU313" i="1"/>
  <c r="F359" i="1"/>
  <c r="DH349" i="3"/>
  <c r="DI349" i="3"/>
  <c r="DJ349" i="3" s="1"/>
  <c r="DF349" i="3"/>
  <c r="DG349" i="3"/>
  <c r="DF414" i="3"/>
  <c r="DG414" i="3"/>
  <c r="DJ414" i="3" s="1"/>
  <c r="DH414" i="3"/>
  <c r="DI414" i="3"/>
  <c r="CP250" i="1"/>
  <c r="O250" i="1" s="1"/>
  <c r="GM250" i="1" s="1"/>
  <c r="GN250" i="1" s="1"/>
  <c r="R324" i="1"/>
  <c r="AE340" i="1" s="1"/>
  <c r="CY331" i="1"/>
  <c r="X331" i="1" s="1"/>
  <c r="GM331" i="1" s="1"/>
  <c r="GN331" i="1" s="1"/>
  <c r="CZ331" i="1"/>
  <c r="Y331" i="1" s="1"/>
  <c r="DF393" i="3"/>
  <c r="DJ393" i="3" s="1"/>
  <c r="DG393" i="3"/>
  <c r="DH393" i="3"/>
  <c r="DI393" i="3"/>
  <c r="DF384" i="3"/>
  <c r="DG384" i="3"/>
  <c r="DJ384" i="3" s="1"/>
  <c r="DH384" i="3"/>
  <c r="DI384" i="3"/>
  <c r="DG392" i="3"/>
  <c r="DH392" i="3"/>
  <c r="DI392" i="3"/>
  <c r="DF392" i="3"/>
  <c r="DJ392" i="3" s="1"/>
  <c r="AX384" i="1"/>
  <c r="CG380" i="1"/>
  <c r="GM434" i="1"/>
  <c r="GN434" i="1" s="1"/>
  <c r="AT478" i="1"/>
  <c r="F513" i="1"/>
  <c r="AQ424" i="1"/>
  <c r="F448" i="1"/>
  <c r="AK380" i="1"/>
  <c r="X384" i="1"/>
  <c r="DI488" i="3"/>
  <c r="DF488" i="3"/>
  <c r="DJ488" i="3" s="1"/>
  <c r="DG488" i="3"/>
  <c r="DH488" i="3"/>
  <c r="DF492" i="3"/>
  <c r="DG492" i="3"/>
  <c r="DH492" i="3"/>
  <c r="DI492" i="3"/>
  <c r="DJ492" i="3" s="1"/>
  <c r="AT424" i="1"/>
  <c r="F456" i="1"/>
  <c r="DI5" i="3"/>
  <c r="DJ5" i="3" s="1"/>
  <c r="DF5" i="3"/>
  <c r="DG5" i="3"/>
  <c r="DH5" i="3"/>
  <c r="DF55" i="3"/>
  <c r="DJ55" i="3" s="1"/>
  <c r="DH55" i="3"/>
  <c r="DI55" i="3"/>
  <c r="DG55" i="3"/>
  <c r="DH56" i="3"/>
  <c r="DI56" i="3"/>
  <c r="DG56" i="3"/>
  <c r="DF56" i="3"/>
  <c r="DJ56" i="3" s="1"/>
  <c r="DG51" i="3"/>
  <c r="DJ51" i="3" s="1"/>
  <c r="DH51" i="3"/>
  <c r="DF51" i="3"/>
  <c r="DI51" i="3"/>
  <c r="DI39" i="3"/>
  <c r="DH39" i="3"/>
  <c r="DF39" i="3"/>
  <c r="DG39" i="3"/>
  <c r="DJ39" i="3" s="1"/>
  <c r="DH85" i="3"/>
  <c r="DF85" i="3"/>
  <c r="DG85" i="3"/>
  <c r="DJ85" i="3" s="1"/>
  <c r="DI85" i="3"/>
  <c r="DG42" i="3"/>
  <c r="DJ42" i="3" s="1"/>
  <c r="DH42" i="3"/>
  <c r="DF42" i="3"/>
  <c r="DI42" i="3"/>
  <c r="DH83" i="3"/>
  <c r="DI83" i="3"/>
  <c r="DF83" i="3"/>
  <c r="DG83" i="3"/>
  <c r="DJ83" i="3" s="1"/>
  <c r="DH60" i="3"/>
  <c r="DF60" i="3"/>
  <c r="DJ60" i="3" s="1"/>
  <c r="DG60" i="3"/>
  <c r="DI60" i="3"/>
  <c r="DF106" i="3"/>
  <c r="DG106" i="3"/>
  <c r="DJ106" i="3" s="1"/>
  <c r="DH106" i="3"/>
  <c r="DI106" i="3"/>
  <c r="DG25" i="3"/>
  <c r="DH25" i="3"/>
  <c r="DI25" i="3"/>
  <c r="DF25" i="3"/>
  <c r="DJ25" i="3" s="1"/>
  <c r="DF20" i="3"/>
  <c r="DJ20" i="3" s="1"/>
  <c r="DH20" i="3"/>
  <c r="DI20" i="3"/>
  <c r="DG20" i="3"/>
  <c r="DF95" i="3"/>
  <c r="DG95" i="3"/>
  <c r="DJ95" i="3" s="1"/>
  <c r="DH95" i="3"/>
  <c r="DI95" i="3"/>
  <c r="DG158" i="3"/>
  <c r="DJ158" i="3" s="1"/>
  <c r="DH158" i="3"/>
  <c r="DI158" i="3"/>
  <c r="DF158" i="3"/>
  <c r="DF170" i="3"/>
  <c r="DG170" i="3"/>
  <c r="DH170" i="3"/>
  <c r="DI170" i="3"/>
  <c r="DJ170" i="3" s="1"/>
  <c r="DF223" i="3"/>
  <c r="DG223" i="3"/>
  <c r="DJ223" i="3" s="1"/>
  <c r="DH223" i="3"/>
  <c r="DI223" i="3"/>
  <c r="DH231" i="3"/>
  <c r="DI231" i="3"/>
  <c r="DF231" i="3"/>
  <c r="DG231" i="3"/>
  <c r="DJ231" i="3" s="1"/>
  <c r="DI263" i="3"/>
  <c r="DJ263" i="3" s="1"/>
  <c r="DH263" i="3"/>
  <c r="DG263" i="3"/>
  <c r="DF263" i="3"/>
  <c r="DF249" i="3"/>
  <c r="DJ249" i="3" s="1"/>
  <c r="DG249" i="3"/>
  <c r="DH249" i="3"/>
  <c r="DI249" i="3"/>
  <c r="DI257" i="3"/>
  <c r="DG257" i="3"/>
  <c r="DJ257" i="3" s="1"/>
  <c r="DH257" i="3"/>
  <c r="DF257" i="3"/>
  <c r="DI293" i="3"/>
  <c r="DJ293" i="3" s="1"/>
  <c r="DF293" i="3"/>
  <c r="DG293" i="3"/>
  <c r="DH293" i="3"/>
  <c r="DF286" i="3"/>
  <c r="DG286" i="3"/>
  <c r="DH286" i="3"/>
  <c r="DI286" i="3"/>
  <c r="DJ286" i="3" s="1"/>
  <c r="DH361" i="3"/>
  <c r="DI361" i="3"/>
  <c r="DF361" i="3"/>
  <c r="DG361" i="3"/>
  <c r="DJ361" i="3" s="1"/>
  <c r="DH330" i="3"/>
  <c r="DI330" i="3"/>
  <c r="DF330" i="3"/>
  <c r="DJ330" i="3" s="1"/>
  <c r="DG330" i="3"/>
  <c r="DF354" i="3"/>
  <c r="DJ354" i="3" s="1"/>
  <c r="DH354" i="3"/>
  <c r="DI354" i="3"/>
  <c r="DG354" i="3"/>
  <c r="DF397" i="3"/>
  <c r="DG397" i="3"/>
  <c r="DH397" i="3"/>
  <c r="DI397" i="3"/>
  <c r="DJ397" i="3" s="1"/>
  <c r="DG327" i="3"/>
  <c r="DH327" i="3"/>
  <c r="DI327" i="3"/>
  <c r="DF327" i="3"/>
  <c r="DJ327" i="3" s="1"/>
  <c r="DF287" i="3"/>
  <c r="DG287" i="3"/>
  <c r="DJ287" i="3" s="1"/>
  <c r="DH287" i="3"/>
  <c r="DI287" i="3"/>
  <c r="DI403" i="3"/>
  <c r="DF403" i="3"/>
  <c r="DG403" i="3"/>
  <c r="DJ403" i="3" s="1"/>
  <c r="DH403" i="3"/>
  <c r="DI390" i="3"/>
  <c r="DF390" i="3"/>
  <c r="DJ390" i="3" s="1"/>
  <c r="DG390" i="3"/>
  <c r="DH390" i="3"/>
  <c r="DF493" i="3"/>
  <c r="DG493" i="3"/>
  <c r="DJ493" i="3" s="1"/>
  <c r="DH493" i="3"/>
  <c r="DI493" i="3"/>
  <c r="DI365" i="3"/>
  <c r="DF365" i="3"/>
  <c r="DJ365" i="3" s="1"/>
  <c r="DG365" i="3"/>
  <c r="DH365" i="3"/>
  <c r="DF70" i="3"/>
  <c r="DI70" i="3"/>
  <c r="DG70" i="3"/>
  <c r="DJ70" i="3" s="1"/>
  <c r="DH70" i="3"/>
  <c r="DH66" i="3"/>
  <c r="DF66" i="3"/>
  <c r="DG66" i="3"/>
  <c r="DI66" i="3"/>
  <c r="DJ66" i="3" s="1"/>
  <c r="F47" i="1"/>
  <c r="AP26" i="1"/>
  <c r="AP533" i="1"/>
  <c r="DF19" i="3"/>
  <c r="DJ19" i="3" s="1"/>
  <c r="DG19" i="3"/>
  <c r="DI19" i="3"/>
  <c r="DH19" i="3"/>
  <c r="DF50" i="3"/>
  <c r="DI50" i="3"/>
  <c r="DG50" i="3"/>
  <c r="DJ50" i="3" s="1"/>
  <c r="DH50" i="3"/>
  <c r="DF82" i="3"/>
  <c r="DG82" i="3"/>
  <c r="DH82" i="3"/>
  <c r="DI82" i="3"/>
  <c r="DJ82" i="3" s="1"/>
  <c r="DF425" i="3"/>
  <c r="DJ425" i="3" s="1"/>
  <c r="DG425" i="3"/>
  <c r="DH425" i="3"/>
  <c r="DI425" i="3"/>
  <c r="DF40" i="3"/>
  <c r="DI40" i="3"/>
  <c r="DJ40" i="3" s="1"/>
  <c r="DG40" i="3"/>
  <c r="DH40" i="3"/>
  <c r="GX31" i="1"/>
  <c r="R31" i="1"/>
  <c r="W32" i="1"/>
  <c r="AJ38" i="1" s="1"/>
  <c r="CP104" i="1"/>
  <c r="O104" i="1" s="1"/>
  <c r="U32" i="1"/>
  <c r="BD157" i="1"/>
  <c r="F192" i="1"/>
  <c r="DF230" i="3"/>
  <c r="DG230" i="3"/>
  <c r="DH230" i="3"/>
  <c r="DI230" i="3"/>
  <c r="DJ230" i="3" s="1"/>
  <c r="DF149" i="3"/>
  <c r="DG149" i="3"/>
  <c r="DH149" i="3"/>
  <c r="DI149" i="3"/>
  <c r="DJ149" i="3" s="1"/>
  <c r="AT245" i="1"/>
  <c r="F291" i="1"/>
  <c r="V254" i="1"/>
  <c r="DG215" i="3"/>
  <c r="DF215" i="3"/>
  <c r="DJ215" i="3" s="1"/>
  <c r="DH215" i="3"/>
  <c r="DI215" i="3"/>
  <c r="DH338" i="3"/>
  <c r="DI338" i="3"/>
  <c r="DF338" i="3"/>
  <c r="DJ338" i="3" s="1"/>
  <c r="DG338" i="3"/>
  <c r="CG100" i="1"/>
  <c r="AX117" i="1"/>
  <c r="DI166" i="3"/>
  <c r="DF166" i="3"/>
  <c r="DG166" i="3"/>
  <c r="DJ166" i="3" s="1"/>
  <c r="DH166" i="3"/>
  <c r="DH162" i="3"/>
  <c r="DI162" i="3"/>
  <c r="DJ162" i="3" s="1"/>
  <c r="DF162" i="3"/>
  <c r="DG162" i="3"/>
  <c r="DF262" i="3"/>
  <c r="DG262" i="3"/>
  <c r="DH262" i="3"/>
  <c r="DI262" i="3"/>
  <c r="DJ262" i="3" s="1"/>
  <c r="S266" i="1"/>
  <c r="T266" i="1"/>
  <c r="DF252" i="3"/>
  <c r="DJ252" i="3" s="1"/>
  <c r="DG252" i="3"/>
  <c r="DH252" i="3"/>
  <c r="DI252" i="3"/>
  <c r="AE167" i="1"/>
  <c r="AF157" i="1"/>
  <c r="S167" i="1"/>
  <c r="CP265" i="1"/>
  <c r="O265" i="1" s="1"/>
  <c r="GM265" i="1" s="1"/>
  <c r="GN265" i="1" s="1"/>
  <c r="DF344" i="3"/>
  <c r="DG344" i="3"/>
  <c r="DH344" i="3"/>
  <c r="DI344" i="3"/>
  <c r="DJ344" i="3" s="1"/>
  <c r="R251" i="1"/>
  <c r="CZ251" i="1" s="1"/>
  <c r="Y251" i="1" s="1"/>
  <c r="U324" i="1"/>
  <c r="AH340" i="1" s="1"/>
  <c r="CY332" i="1"/>
  <c r="X332" i="1" s="1"/>
  <c r="CZ332" i="1"/>
  <c r="Y332" i="1" s="1"/>
  <c r="DI440" i="3"/>
  <c r="DF440" i="3"/>
  <c r="DG440" i="3"/>
  <c r="DJ440" i="3" s="1"/>
  <c r="DH440" i="3"/>
  <c r="P266" i="1"/>
  <c r="CP266" i="1" s="1"/>
  <c r="O266" i="1" s="1"/>
  <c r="F358" i="1"/>
  <c r="AT313" i="1"/>
  <c r="DF450" i="3"/>
  <c r="DG450" i="3"/>
  <c r="DJ450" i="3" s="1"/>
  <c r="DH450" i="3"/>
  <c r="DI450" i="3"/>
  <c r="DF482" i="3"/>
  <c r="DJ482" i="3" s="1"/>
  <c r="DG482" i="3"/>
  <c r="DH482" i="3"/>
  <c r="DI482" i="3"/>
  <c r="F454" i="1"/>
  <c r="BC424" i="1"/>
  <c r="DF424" i="3"/>
  <c r="DJ424" i="3" s="1"/>
  <c r="DG424" i="3"/>
  <c r="DH424" i="3"/>
  <c r="DI424" i="3"/>
  <c r="DF422" i="3"/>
  <c r="DI422" i="3"/>
  <c r="DG422" i="3"/>
  <c r="DJ422" i="3" s="1"/>
  <c r="DH422" i="3"/>
  <c r="P254" i="1"/>
  <c r="P325" i="1"/>
  <c r="W380" i="1"/>
  <c r="F408" i="1"/>
  <c r="DF380" i="3"/>
  <c r="DG380" i="3"/>
  <c r="DJ380" i="3" s="1"/>
  <c r="DH380" i="3"/>
  <c r="DI380" i="3"/>
  <c r="DG386" i="3"/>
  <c r="DJ386" i="3" s="1"/>
  <c r="DH386" i="3"/>
  <c r="DI386" i="3"/>
  <c r="DF386" i="3"/>
  <c r="BD478" i="1"/>
  <c r="F520" i="1"/>
  <c r="AU380" i="1"/>
  <c r="F403" i="1"/>
  <c r="AF380" i="1"/>
  <c r="S384" i="1"/>
  <c r="CZ430" i="1"/>
  <c r="Y430" i="1" s="1"/>
  <c r="AL438" i="1" s="1"/>
  <c r="DF489" i="3"/>
  <c r="DJ489" i="3" s="1"/>
  <c r="DG489" i="3"/>
  <c r="DH489" i="3"/>
  <c r="DI489" i="3"/>
  <c r="R482" i="1"/>
  <c r="BB478" i="1"/>
  <c r="F508" i="1"/>
  <c r="DF110" i="3"/>
  <c r="DG110" i="3"/>
  <c r="DJ110" i="3" s="1"/>
  <c r="DH110" i="3"/>
  <c r="DI110" i="3"/>
  <c r="DG165" i="3"/>
  <c r="DJ165" i="3" s="1"/>
  <c r="DH165" i="3"/>
  <c r="DI165" i="3"/>
  <c r="DF165" i="3"/>
  <c r="DF237" i="3"/>
  <c r="DG237" i="3"/>
  <c r="DH237" i="3"/>
  <c r="DI237" i="3"/>
  <c r="DJ237" i="3" s="1"/>
  <c r="DH203" i="3"/>
  <c r="DI203" i="3"/>
  <c r="DF203" i="3"/>
  <c r="DG203" i="3"/>
  <c r="DJ203" i="3" s="1"/>
  <c r="DF195" i="3"/>
  <c r="DG195" i="3"/>
  <c r="DJ195" i="3" s="1"/>
  <c r="DH195" i="3"/>
  <c r="DI195" i="3"/>
  <c r="DF251" i="3"/>
  <c r="DJ251" i="3" s="1"/>
  <c r="DG251" i="3"/>
  <c r="DH251" i="3"/>
  <c r="DI251" i="3"/>
  <c r="DG295" i="3"/>
  <c r="DJ295" i="3" s="1"/>
  <c r="DH295" i="3"/>
  <c r="DI295" i="3"/>
  <c r="DF295" i="3"/>
  <c r="DG269" i="3"/>
  <c r="DH269" i="3"/>
  <c r="DI269" i="3"/>
  <c r="DJ269" i="3" s="1"/>
  <c r="DF269" i="3"/>
  <c r="DI296" i="3"/>
  <c r="DF296" i="3"/>
  <c r="DG296" i="3"/>
  <c r="DJ296" i="3" s="1"/>
  <c r="DH296" i="3"/>
  <c r="DF291" i="3"/>
  <c r="DJ291" i="3" s="1"/>
  <c r="DG291" i="3"/>
  <c r="DH291" i="3"/>
  <c r="DI291" i="3"/>
  <c r="DF336" i="3"/>
  <c r="DJ336" i="3" s="1"/>
  <c r="DG336" i="3"/>
  <c r="DH336" i="3"/>
  <c r="DI336" i="3"/>
  <c r="DF373" i="3"/>
  <c r="DG373" i="3"/>
  <c r="DJ373" i="3" s="1"/>
  <c r="DH373" i="3"/>
  <c r="DI373" i="3"/>
  <c r="DG350" i="3"/>
  <c r="DJ350" i="3" s="1"/>
  <c r="DH350" i="3"/>
  <c r="DI350" i="3"/>
  <c r="DF350" i="3"/>
  <c r="DH409" i="3"/>
  <c r="DG409" i="3"/>
  <c r="DI409" i="3"/>
  <c r="DJ409" i="3" s="1"/>
  <c r="DF409" i="3"/>
  <c r="DH371" i="3"/>
  <c r="DI371" i="3"/>
  <c r="DJ371" i="3" s="1"/>
  <c r="DF371" i="3"/>
  <c r="DG371" i="3"/>
  <c r="V31" i="1"/>
  <c r="T31" i="1"/>
  <c r="AG38" i="1" s="1"/>
  <c r="DG75" i="3"/>
  <c r="DF75" i="3"/>
  <c r="DJ75" i="3" s="1"/>
  <c r="DH75" i="3"/>
  <c r="DI75" i="3"/>
  <c r="DG79" i="3"/>
  <c r="DH79" i="3"/>
  <c r="DF79" i="3"/>
  <c r="DJ79" i="3" s="1"/>
  <c r="DI79" i="3"/>
  <c r="DF427" i="3"/>
  <c r="DJ427" i="3" s="1"/>
  <c r="DG427" i="3"/>
  <c r="DH427" i="3"/>
  <c r="DI427" i="3"/>
  <c r="AX26" i="1"/>
  <c r="F45" i="1"/>
  <c r="DF23" i="3"/>
  <c r="DJ23" i="3" s="1"/>
  <c r="DG23" i="3"/>
  <c r="DI23" i="3"/>
  <c r="DH23" i="3"/>
  <c r="DG26" i="3"/>
  <c r="DH26" i="3"/>
  <c r="DF26" i="3"/>
  <c r="DJ26" i="3" s="1"/>
  <c r="DI26" i="3"/>
  <c r="DF63" i="3"/>
  <c r="DJ63" i="3" s="1"/>
  <c r="DI63" i="3"/>
  <c r="DG63" i="3"/>
  <c r="DH63" i="3"/>
  <c r="DF87" i="3"/>
  <c r="DJ87" i="3" s="1"/>
  <c r="DG87" i="3"/>
  <c r="DH87" i="3"/>
  <c r="DI87" i="3"/>
  <c r="DF9" i="3"/>
  <c r="DJ9" i="3" s="1"/>
  <c r="DG9" i="3"/>
  <c r="DH9" i="3"/>
  <c r="DI9" i="3"/>
  <c r="AE38" i="1"/>
  <c r="Q32" i="1"/>
  <c r="S31" i="1"/>
  <c r="R32" i="1"/>
  <c r="CZ32" i="1" s="1"/>
  <c r="Y32" i="1" s="1"/>
  <c r="CY104" i="1"/>
  <c r="X104" i="1" s="1"/>
  <c r="AK117" i="1" s="1"/>
  <c r="CZ104" i="1"/>
  <c r="Y104" i="1" s="1"/>
  <c r="AC205" i="1"/>
  <c r="CP95" i="1"/>
  <c r="O95" i="1" s="1"/>
  <c r="GM95" i="1" s="1"/>
  <c r="GN95" i="1" s="1"/>
  <c r="AF205" i="1"/>
  <c r="AF78" i="1" s="1"/>
  <c r="CZ160" i="1"/>
  <c r="Y160" i="1" s="1"/>
  <c r="AL167" i="1" s="1"/>
  <c r="DF153" i="3"/>
  <c r="DJ153" i="3" s="1"/>
  <c r="DG153" i="3"/>
  <c r="DH153" i="3"/>
  <c r="DI153" i="3"/>
  <c r="BB245" i="1"/>
  <c r="F286" i="1"/>
  <c r="DF315" i="3"/>
  <c r="DG315" i="3"/>
  <c r="DH315" i="3"/>
  <c r="DI315" i="3"/>
  <c r="DJ315" i="3" s="1"/>
  <c r="GM332" i="1"/>
  <c r="GN332" i="1" s="1"/>
  <c r="F185" i="1"/>
  <c r="AT157" i="1"/>
  <c r="DF147" i="3"/>
  <c r="DJ147" i="3" s="1"/>
  <c r="DG147" i="3"/>
  <c r="DH147" i="3"/>
  <c r="DI147" i="3"/>
  <c r="R259" i="1"/>
  <c r="DH266" i="3"/>
  <c r="DI266" i="3"/>
  <c r="DG266" i="3"/>
  <c r="DF266" i="3"/>
  <c r="DJ266" i="3" s="1"/>
  <c r="AI100" i="1"/>
  <c r="V117" i="1"/>
  <c r="GM94" i="1"/>
  <c r="AB205" i="1"/>
  <c r="AB78" i="1" s="1"/>
  <c r="CI157" i="1"/>
  <c r="AZ167" i="1"/>
  <c r="DF244" i="3"/>
  <c r="DG244" i="3"/>
  <c r="DJ244" i="3" s="1"/>
  <c r="DH244" i="3"/>
  <c r="DI244" i="3"/>
  <c r="CJ157" i="1"/>
  <c r="BA167" i="1"/>
  <c r="R254" i="1"/>
  <c r="AK167" i="1"/>
  <c r="V259" i="1"/>
  <c r="DF288" i="3"/>
  <c r="DI288" i="3"/>
  <c r="DG288" i="3"/>
  <c r="DJ288" i="3" s="1"/>
  <c r="DH288" i="3"/>
  <c r="U266" i="1"/>
  <c r="V324" i="1"/>
  <c r="T325" i="1"/>
  <c r="DF358" i="3"/>
  <c r="DG358" i="3"/>
  <c r="DJ358" i="3" s="1"/>
  <c r="DI358" i="3"/>
  <c r="DH358" i="3"/>
  <c r="DF437" i="3"/>
  <c r="DG437" i="3"/>
  <c r="DJ437" i="3" s="1"/>
  <c r="DH437" i="3"/>
  <c r="DI437" i="3"/>
  <c r="BD313" i="1"/>
  <c r="F365" i="1"/>
  <c r="DF460" i="3"/>
  <c r="DJ460" i="3" s="1"/>
  <c r="DG460" i="3"/>
  <c r="DH460" i="3"/>
  <c r="DI460" i="3"/>
  <c r="DF446" i="3"/>
  <c r="DG446" i="3"/>
  <c r="DH446" i="3"/>
  <c r="DI446" i="3"/>
  <c r="DJ446" i="3" s="1"/>
  <c r="F406" i="1"/>
  <c r="U380" i="1"/>
  <c r="V251" i="1"/>
  <c r="AI273" i="1" s="1"/>
  <c r="CZ333" i="1"/>
  <c r="Y333" i="1" s="1"/>
  <c r="GM333" i="1" s="1"/>
  <c r="GN333" i="1" s="1"/>
  <c r="DF416" i="3"/>
  <c r="DG416" i="3"/>
  <c r="DJ416" i="3" s="1"/>
  <c r="DH416" i="3"/>
  <c r="DI416" i="3"/>
  <c r="GM262" i="1"/>
  <c r="GN262" i="1" s="1"/>
  <c r="S325" i="1"/>
  <c r="GM249" i="1"/>
  <c r="CZ322" i="1"/>
  <c r="Y322" i="1" s="1"/>
  <c r="GM322" i="1" s="1"/>
  <c r="GN322" i="1" s="1"/>
  <c r="DF376" i="3"/>
  <c r="DG376" i="3"/>
  <c r="DJ376" i="3" s="1"/>
  <c r="DH376" i="3"/>
  <c r="DI376" i="3"/>
  <c r="DG382" i="3"/>
  <c r="DJ382" i="3" s="1"/>
  <c r="DH382" i="3"/>
  <c r="DI382" i="3"/>
  <c r="DF382" i="3"/>
  <c r="AP424" i="1"/>
  <c r="F447" i="1"/>
  <c r="CI313" i="1"/>
  <c r="AZ340" i="1"/>
  <c r="AO478" i="1"/>
  <c r="F499" i="1"/>
  <c r="AP478" i="1"/>
  <c r="F504" i="1"/>
  <c r="DF486" i="3"/>
  <c r="DG486" i="3"/>
  <c r="DJ486" i="3" s="1"/>
  <c r="DH486" i="3"/>
  <c r="DI486" i="3"/>
  <c r="AU495" i="1"/>
  <c r="CD478" i="1"/>
  <c r="DF114" i="3"/>
  <c r="DG114" i="3"/>
  <c r="DJ114" i="3" s="1"/>
  <c r="DH114" i="3"/>
  <c r="DI114" i="3"/>
  <c r="DI134" i="3"/>
  <c r="DH134" i="3"/>
  <c r="DF134" i="3"/>
  <c r="DG134" i="3"/>
  <c r="DJ134" i="3" s="1"/>
  <c r="DG299" i="3"/>
  <c r="DJ299" i="3" s="1"/>
  <c r="DH299" i="3"/>
  <c r="DI299" i="3"/>
  <c r="DF299" i="3"/>
  <c r="DF341" i="3"/>
  <c r="DG341" i="3"/>
  <c r="DJ341" i="3" s="1"/>
  <c r="DH341" i="3"/>
  <c r="DI341" i="3"/>
  <c r="DI270" i="3"/>
  <c r="DH270" i="3"/>
  <c r="DF270" i="3"/>
  <c r="DG270" i="3"/>
  <c r="DJ270" i="3" s="1"/>
  <c r="DI300" i="3"/>
  <c r="DF300" i="3"/>
  <c r="DG300" i="3"/>
  <c r="DJ300" i="3" s="1"/>
  <c r="DH300" i="3"/>
  <c r="DF377" i="3"/>
  <c r="DG377" i="3"/>
  <c r="DJ377" i="3" s="1"/>
  <c r="DH377" i="3"/>
  <c r="DI377" i="3"/>
  <c r="DG405" i="3"/>
  <c r="DJ405" i="3" s="1"/>
  <c r="DH405" i="3"/>
  <c r="DI405" i="3"/>
  <c r="DF405" i="3"/>
  <c r="DG435" i="3"/>
  <c r="DJ435" i="3" s="1"/>
  <c r="DH435" i="3"/>
  <c r="DI435" i="3"/>
  <c r="DF435" i="3"/>
  <c r="DH423" i="3"/>
  <c r="DF423" i="3"/>
  <c r="DG423" i="3"/>
  <c r="DJ423" i="3" s="1"/>
  <c r="DI423" i="3"/>
  <c r="DH421" i="3"/>
  <c r="DF421" i="3"/>
  <c r="DG421" i="3"/>
  <c r="DJ421" i="3" s="1"/>
  <c r="DI421" i="3"/>
  <c r="DI475" i="3"/>
  <c r="DJ475" i="3" s="1"/>
  <c r="DF475" i="3"/>
  <c r="DG475" i="3"/>
  <c r="DH475" i="3"/>
  <c r="DG67" i="3"/>
  <c r="DH67" i="3"/>
  <c r="DF67" i="3"/>
  <c r="DI67" i="3"/>
  <c r="DJ67" i="3" s="1"/>
  <c r="DF16" i="3"/>
  <c r="DG16" i="3"/>
  <c r="DJ16" i="3" s="1"/>
  <c r="DI16" i="3"/>
  <c r="DH16" i="3"/>
  <c r="AQ26" i="1"/>
  <c r="F48" i="1"/>
  <c r="DF57" i="3"/>
  <c r="DJ57" i="3" s="1"/>
  <c r="DG57" i="3"/>
  <c r="DH57" i="3"/>
  <c r="DI57" i="3"/>
  <c r="DF84" i="3"/>
  <c r="DG84" i="3"/>
  <c r="DJ84" i="3" s="1"/>
  <c r="DH84" i="3"/>
  <c r="DI84" i="3"/>
  <c r="DF457" i="3"/>
  <c r="DJ457" i="3" s="1"/>
  <c r="DG457" i="3"/>
  <c r="DH457" i="3"/>
  <c r="DI457" i="3"/>
  <c r="DF6" i="3"/>
  <c r="DG6" i="3"/>
  <c r="DJ6" i="3" s="1"/>
  <c r="DH6" i="3"/>
  <c r="DI6" i="3"/>
  <c r="DF429" i="3"/>
  <c r="DJ429" i="3" s="1"/>
  <c r="DG429" i="3"/>
  <c r="DH429" i="3"/>
  <c r="DI429" i="3"/>
  <c r="CC100" i="1"/>
  <c r="AT117" i="1"/>
  <c r="GX32" i="1"/>
  <c r="V32" i="1"/>
  <c r="CZ91" i="1"/>
  <c r="Y91" i="1" s="1"/>
  <c r="GM91" i="1" s="1"/>
  <c r="GN91" i="1" s="1"/>
  <c r="AG100" i="1"/>
  <c r="T117" i="1"/>
  <c r="AK205" i="1"/>
  <c r="AK78" i="1" s="1"/>
  <c r="DF232" i="3"/>
  <c r="DG232" i="3"/>
  <c r="DJ232" i="3" s="1"/>
  <c r="DH232" i="3"/>
  <c r="DI232" i="3"/>
  <c r="DF154" i="3"/>
  <c r="DJ154" i="3" s="1"/>
  <c r="DG154" i="3"/>
  <c r="DH154" i="3"/>
  <c r="DI154" i="3"/>
  <c r="CY258" i="1"/>
  <c r="X258" i="1" s="1"/>
  <c r="CZ258" i="1"/>
  <c r="Y258" i="1" s="1"/>
  <c r="DF204" i="3"/>
  <c r="DI204" i="3"/>
  <c r="DG204" i="3"/>
  <c r="DJ204" i="3" s="1"/>
  <c r="DH204" i="3"/>
  <c r="DF192" i="3"/>
  <c r="DG192" i="3"/>
  <c r="DH192" i="3"/>
  <c r="DI192" i="3"/>
  <c r="DJ192" i="3" s="1"/>
  <c r="BC245" i="1"/>
  <c r="F289" i="1"/>
  <c r="DI333" i="3"/>
  <c r="DF333" i="3"/>
  <c r="DJ333" i="3" s="1"/>
  <c r="DG333" i="3"/>
  <c r="DH333" i="3"/>
  <c r="DF337" i="3"/>
  <c r="DJ337" i="3" s="1"/>
  <c r="DG337" i="3"/>
  <c r="DH337" i="3"/>
  <c r="DI337" i="3"/>
  <c r="DI342" i="3"/>
  <c r="DF342" i="3"/>
  <c r="DJ342" i="3" s="1"/>
  <c r="DG342" i="3"/>
  <c r="DH342" i="3"/>
  <c r="AQ205" i="1"/>
  <c r="AQ100" i="1"/>
  <c r="F127" i="1"/>
  <c r="AF117" i="1"/>
  <c r="F177" i="1"/>
  <c r="AQ157" i="1"/>
  <c r="AP245" i="1"/>
  <c r="F282" i="1"/>
  <c r="DF240" i="3"/>
  <c r="DG240" i="3"/>
  <c r="DJ240" i="3" s="1"/>
  <c r="DH240" i="3"/>
  <c r="DI240" i="3"/>
  <c r="CF167" i="1"/>
  <c r="CH167" i="1"/>
  <c r="P167" i="1"/>
  <c r="AC157" i="1"/>
  <c r="CE167" i="1"/>
  <c r="AG157" i="1"/>
  <c r="T167" i="1"/>
  <c r="AZ245" i="1"/>
  <c r="F284" i="1"/>
  <c r="DH273" i="3"/>
  <c r="DI273" i="3"/>
  <c r="DG273" i="3"/>
  <c r="DF273" i="3"/>
  <c r="DJ273" i="3" s="1"/>
  <c r="Q251" i="1"/>
  <c r="V266" i="1"/>
  <c r="DF433" i="3"/>
  <c r="DG433" i="3"/>
  <c r="DH433" i="3"/>
  <c r="DI433" i="3"/>
  <c r="DJ433" i="3" s="1"/>
  <c r="BC313" i="1"/>
  <c r="F356" i="1"/>
  <c r="W324" i="1"/>
  <c r="AJ340" i="1" s="1"/>
  <c r="DF452" i="3"/>
  <c r="DJ452" i="3" s="1"/>
  <c r="DG452" i="3"/>
  <c r="DH452" i="3"/>
  <c r="DI452" i="3"/>
  <c r="DG456" i="3"/>
  <c r="DH456" i="3"/>
  <c r="DI456" i="3"/>
  <c r="DF456" i="3"/>
  <c r="DJ456" i="3" s="1"/>
  <c r="DH478" i="3"/>
  <c r="DI478" i="3"/>
  <c r="DF478" i="3"/>
  <c r="DJ478" i="3" s="1"/>
  <c r="DG478" i="3"/>
  <c r="DF351" i="3"/>
  <c r="DG351" i="3"/>
  <c r="DJ351" i="3" s="1"/>
  <c r="DI351" i="3"/>
  <c r="DH351" i="3"/>
  <c r="Q259" i="1"/>
  <c r="CZ320" i="1"/>
  <c r="Y320" i="1" s="1"/>
  <c r="DF410" i="3"/>
  <c r="DG410" i="3"/>
  <c r="DJ410" i="3" s="1"/>
  <c r="DH410" i="3"/>
  <c r="DI410" i="3"/>
  <c r="Q254" i="1"/>
  <c r="DF372" i="3"/>
  <c r="DG372" i="3"/>
  <c r="DH372" i="3"/>
  <c r="DI372" i="3"/>
  <c r="DJ372" i="3" s="1"/>
  <c r="DG378" i="3"/>
  <c r="DJ378" i="3" s="1"/>
  <c r="DH378" i="3"/>
  <c r="DI378" i="3"/>
  <c r="DF378" i="3"/>
  <c r="CG424" i="1"/>
  <c r="AX438" i="1"/>
  <c r="CY486" i="1"/>
  <c r="X486" i="1" s="1"/>
  <c r="GM486" i="1" s="1"/>
  <c r="GN486" i="1" s="1"/>
  <c r="CZ486" i="1"/>
  <c r="Y486" i="1" s="1"/>
  <c r="CG313" i="1"/>
  <c r="AX340" i="1"/>
  <c r="CZ436" i="1"/>
  <c r="Y436" i="1" s="1"/>
  <c r="GM436" i="1" s="1"/>
  <c r="GN436" i="1" s="1"/>
  <c r="F404" i="1"/>
  <c r="BA380" i="1"/>
  <c r="AX478" i="1"/>
  <c r="F502" i="1"/>
  <c r="DG494" i="3"/>
  <c r="DJ494" i="3" s="1"/>
  <c r="DH494" i="3"/>
  <c r="DI494" i="3"/>
  <c r="DF494" i="3"/>
  <c r="GM480" i="1"/>
  <c r="GM489" i="1"/>
  <c r="GN489" i="1" s="1"/>
  <c r="DH78" i="3"/>
  <c r="DF78" i="3"/>
  <c r="DJ78" i="3" s="1"/>
  <c r="DG78" i="3"/>
  <c r="DI78" i="3"/>
  <c r="DG271" i="3"/>
  <c r="DJ271" i="3" s="1"/>
  <c r="DF271" i="3"/>
  <c r="DH271" i="3"/>
  <c r="DI271" i="3"/>
  <c r="DF41" i="3"/>
  <c r="DH41" i="3"/>
  <c r="DI41" i="3"/>
  <c r="DJ41" i="3" s="1"/>
  <c r="DG41" i="3"/>
  <c r="DI59" i="3"/>
  <c r="DH59" i="3"/>
  <c r="DF59" i="3"/>
  <c r="DJ59" i="3" s="1"/>
  <c r="DG59" i="3"/>
  <c r="DG17" i="3"/>
  <c r="DJ17" i="3" s="1"/>
  <c r="DH17" i="3"/>
  <c r="DI17" i="3"/>
  <c r="DF17" i="3"/>
  <c r="DI31" i="3"/>
  <c r="DF31" i="3"/>
  <c r="DH31" i="3"/>
  <c r="DG31" i="3"/>
  <c r="DJ31" i="3" s="1"/>
  <c r="DG176" i="3"/>
  <c r="DJ176" i="3" s="1"/>
  <c r="DH176" i="3"/>
  <c r="DI176" i="3"/>
  <c r="DF176" i="3"/>
  <c r="DH133" i="3"/>
  <c r="DG133" i="3"/>
  <c r="DJ133" i="3" s="1"/>
  <c r="DF133" i="3"/>
  <c r="DI133" i="3"/>
  <c r="DI137" i="3"/>
  <c r="DJ137" i="3" s="1"/>
  <c r="DH137" i="3"/>
  <c r="DF137" i="3"/>
  <c r="DG137" i="3"/>
  <c r="DF88" i="3"/>
  <c r="DJ88" i="3" s="1"/>
  <c r="DI88" i="3"/>
  <c r="DG88" i="3"/>
  <c r="DH88" i="3"/>
  <c r="DG193" i="3"/>
  <c r="DH193" i="3"/>
  <c r="DI193" i="3"/>
  <c r="DJ193" i="3" s="1"/>
  <c r="DF193" i="3"/>
  <c r="DH214" i="3"/>
  <c r="DF214" i="3"/>
  <c r="DJ214" i="3" s="1"/>
  <c r="DG214" i="3"/>
  <c r="DI214" i="3"/>
  <c r="DG279" i="3"/>
  <c r="DJ279" i="3" s="1"/>
  <c r="DI279" i="3"/>
  <c r="DF279" i="3"/>
  <c r="DH279" i="3"/>
  <c r="DF352" i="3"/>
  <c r="DG352" i="3"/>
  <c r="DJ352" i="3" s="1"/>
  <c r="DH352" i="3"/>
  <c r="DI352" i="3"/>
  <c r="DF348" i="3"/>
  <c r="DG348" i="3"/>
  <c r="DH348" i="3"/>
  <c r="DI348" i="3"/>
  <c r="DJ348" i="3" s="1"/>
  <c r="DI317" i="3"/>
  <c r="DF317" i="3"/>
  <c r="DG317" i="3"/>
  <c r="DJ317" i="3" s="1"/>
  <c r="DH317" i="3"/>
  <c r="DF381" i="3"/>
  <c r="DG381" i="3"/>
  <c r="DJ381" i="3" s="1"/>
  <c r="DH381" i="3"/>
  <c r="DI381" i="3"/>
  <c r="DH283" i="3"/>
  <c r="DI283" i="3"/>
  <c r="DF283" i="3"/>
  <c r="DJ283" i="3" s="1"/>
  <c r="DG283" i="3"/>
  <c r="DH363" i="3"/>
  <c r="DF363" i="3"/>
  <c r="DG363" i="3"/>
  <c r="DJ363" i="3" s="1"/>
  <c r="DI363" i="3"/>
  <c r="DG443" i="3"/>
  <c r="DJ443" i="3" s="1"/>
  <c r="DH443" i="3"/>
  <c r="DI443" i="3"/>
  <c r="DF443" i="3"/>
  <c r="DH431" i="3"/>
  <c r="DF431" i="3"/>
  <c r="DJ431" i="3" s="1"/>
  <c r="DG431" i="3"/>
  <c r="DI431" i="3"/>
  <c r="DH419" i="3"/>
  <c r="DF419" i="3"/>
  <c r="DG419" i="3"/>
  <c r="DJ419" i="3" s="1"/>
  <c r="DI419" i="3"/>
  <c r="DI387" i="3"/>
  <c r="DF387" i="3"/>
  <c r="DG387" i="3"/>
  <c r="DJ387" i="3" s="1"/>
  <c r="DH387" i="3"/>
  <c r="DF485" i="3"/>
  <c r="DG485" i="3"/>
  <c r="DJ485" i="3" s="1"/>
  <c r="DH485" i="3"/>
  <c r="DI485" i="3"/>
  <c r="DG439" i="3"/>
  <c r="DH439" i="3"/>
  <c r="DI439" i="3"/>
  <c r="DJ439" i="3" s="1"/>
  <c r="DF439" i="3"/>
  <c r="DF32" i="3"/>
  <c r="DG32" i="3"/>
  <c r="DJ32" i="3" s="1"/>
  <c r="DH32" i="3"/>
  <c r="DI32" i="3"/>
  <c r="DF442" i="3"/>
  <c r="DG442" i="3"/>
  <c r="DH442" i="3"/>
  <c r="DI442" i="3"/>
  <c r="DJ442" i="3" s="1"/>
  <c r="DF14" i="3"/>
  <c r="DG14" i="3"/>
  <c r="DJ14" i="3" s="1"/>
  <c r="DI14" i="3"/>
  <c r="DH14" i="3"/>
  <c r="DF54" i="3"/>
  <c r="DI54" i="3"/>
  <c r="DG54" i="3"/>
  <c r="DJ54" i="3" s="1"/>
  <c r="DH54" i="3"/>
  <c r="DF34" i="3"/>
  <c r="DG34" i="3"/>
  <c r="DI34" i="3"/>
  <c r="DJ34" i="3" s="1"/>
  <c r="DH34" i="3"/>
  <c r="DG81" i="3"/>
  <c r="DF81" i="3"/>
  <c r="DH81" i="3"/>
  <c r="DI81" i="3"/>
  <c r="DJ81" i="3" s="1"/>
  <c r="DF497" i="3"/>
  <c r="DJ497" i="3" s="1"/>
  <c r="DG497" i="3"/>
  <c r="DH497" i="3"/>
  <c r="DI497" i="3"/>
  <c r="DF7" i="3"/>
  <c r="DH7" i="3"/>
  <c r="DI7" i="3"/>
  <c r="DG7" i="3"/>
  <c r="DJ7" i="3" s="1"/>
  <c r="P32" i="1"/>
  <c r="CP32" i="1" s="1"/>
  <c r="O32" i="1" s="1"/>
  <c r="CZ28" i="1"/>
  <c r="Y28" i="1" s="1"/>
  <c r="CP34" i="1"/>
  <c r="O34" i="1" s="1"/>
  <c r="GM34" i="1" s="1"/>
  <c r="GN34" i="1" s="1"/>
  <c r="F133" i="1"/>
  <c r="BC205" i="1"/>
  <c r="BC100" i="1"/>
  <c r="T32" i="1"/>
  <c r="AO100" i="1"/>
  <c r="F121" i="1"/>
  <c r="AO205" i="1"/>
  <c r="AO533" i="1" s="1"/>
  <c r="CP86" i="1"/>
  <c r="O86" i="1" s="1"/>
  <c r="GM86" i="1" s="1"/>
  <c r="GN86" i="1" s="1"/>
  <c r="AL205" i="1"/>
  <c r="AL78" i="1" s="1"/>
  <c r="DF151" i="3"/>
  <c r="DG151" i="3"/>
  <c r="DJ151" i="3" s="1"/>
  <c r="DH151" i="3"/>
  <c r="DI151" i="3"/>
  <c r="DI202" i="3"/>
  <c r="DF202" i="3"/>
  <c r="DG202" i="3"/>
  <c r="DJ202" i="3" s="1"/>
  <c r="DH202" i="3"/>
  <c r="DF200" i="3"/>
  <c r="DG200" i="3"/>
  <c r="DJ200" i="3" s="1"/>
  <c r="DH200" i="3"/>
  <c r="DI200" i="3"/>
  <c r="GM320" i="1"/>
  <c r="GN320" i="1" s="1"/>
  <c r="DF322" i="3"/>
  <c r="DG322" i="3"/>
  <c r="DJ322" i="3" s="1"/>
  <c r="DH322" i="3"/>
  <c r="DI322" i="3"/>
  <c r="DF332" i="3"/>
  <c r="DJ332" i="3" s="1"/>
  <c r="DG332" i="3"/>
  <c r="DH332" i="3"/>
  <c r="DI332" i="3"/>
  <c r="DF340" i="3"/>
  <c r="DG340" i="3"/>
  <c r="DH340" i="3"/>
  <c r="DI340" i="3"/>
  <c r="DJ340" i="3" s="1"/>
  <c r="DF140" i="3"/>
  <c r="DG140" i="3"/>
  <c r="DH140" i="3"/>
  <c r="DI140" i="3"/>
  <c r="DJ140" i="3" s="1"/>
  <c r="DF280" i="3"/>
  <c r="DJ280" i="3" s="1"/>
  <c r="DG280" i="3"/>
  <c r="DH280" i="3"/>
  <c r="DI280" i="3"/>
  <c r="V167" i="1"/>
  <c r="AI157" i="1"/>
  <c r="AL117" i="1"/>
  <c r="AX167" i="1"/>
  <c r="CG157" i="1"/>
  <c r="AX245" i="1"/>
  <c r="F280" i="1"/>
  <c r="DF247" i="3"/>
  <c r="DJ247" i="3" s="1"/>
  <c r="DG247" i="3"/>
  <c r="DH247" i="3"/>
  <c r="DI247" i="3"/>
  <c r="GM160" i="1"/>
  <c r="GN160" i="1" s="1"/>
  <c r="AH100" i="1"/>
  <c r="U117" i="1"/>
  <c r="GX254" i="1"/>
  <c r="W266" i="1"/>
  <c r="DF360" i="3"/>
  <c r="DG360" i="3"/>
  <c r="DJ360" i="3" s="1"/>
  <c r="DH360" i="3"/>
  <c r="DI360" i="3"/>
  <c r="U251" i="1"/>
  <c r="AH273" i="1" s="1"/>
  <c r="V325" i="1"/>
  <c r="P259" i="1"/>
  <c r="CP259" i="1" s="1"/>
  <c r="O259" i="1" s="1"/>
  <c r="DF418" i="3"/>
  <c r="DG418" i="3"/>
  <c r="DJ418" i="3" s="1"/>
  <c r="DH418" i="3"/>
  <c r="DI418" i="3"/>
  <c r="DI408" i="3"/>
  <c r="DJ408" i="3" s="1"/>
  <c r="DH408" i="3"/>
  <c r="DF408" i="3"/>
  <c r="DG408" i="3"/>
  <c r="GX266" i="1"/>
  <c r="AO424" i="1"/>
  <c r="F442" i="1"/>
  <c r="S324" i="1"/>
  <c r="CP324" i="1" s="1"/>
  <c r="O324" i="1" s="1"/>
  <c r="DF391" i="3"/>
  <c r="DJ391" i="3" s="1"/>
  <c r="DG391" i="3"/>
  <c r="DH391" i="3"/>
  <c r="DI391" i="3"/>
  <c r="DG374" i="3"/>
  <c r="DJ374" i="3" s="1"/>
  <c r="DH374" i="3"/>
  <c r="DI374" i="3"/>
  <c r="DF374" i="3"/>
  <c r="AE495" i="1"/>
  <c r="S438" i="1"/>
  <c r="AF424" i="1"/>
  <c r="CY481" i="1"/>
  <c r="X481" i="1" s="1"/>
  <c r="GM481" i="1" s="1"/>
  <c r="GN481" i="1" s="1"/>
  <c r="F350" i="1"/>
  <c r="AQ313" i="1"/>
  <c r="AH424" i="1"/>
  <c r="U438" i="1"/>
  <c r="W438" i="1"/>
  <c r="AJ424" i="1"/>
  <c r="GM430" i="1"/>
  <c r="GN430" i="1" s="1"/>
  <c r="CI478" i="1"/>
  <c r="AZ495" i="1"/>
  <c r="DG490" i="3"/>
  <c r="DH490" i="3"/>
  <c r="DI490" i="3"/>
  <c r="DF490" i="3"/>
  <c r="DJ490" i="3" s="1"/>
  <c r="GM336" i="1"/>
  <c r="GN336" i="1" s="1"/>
  <c r="GM492" i="1"/>
  <c r="GN492" i="1" s="1"/>
  <c r="G618" i="6" l="1"/>
  <c r="J629" i="6"/>
  <c r="G18" i="6"/>
  <c r="G629" i="6"/>
  <c r="G74" i="6"/>
  <c r="G436" i="6"/>
  <c r="G202" i="6"/>
  <c r="G19" i="6"/>
  <c r="T38" i="1"/>
  <c r="AG26" i="1"/>
  <c r="AJ26" i="1"/>
  <c r="W38" i="1"/>
  <c r="AK100" i="1"/>
  <c r="X117" i="1"/>
  <c r="AI245" i="1"/>
  <c r="V273" i="1"/>
  <c r="AE313" i="1"/>
  <c r="R340" i="1"/>
  <c r="Y167" i="1"/>
  <c r="AL157" i="1"/>
  <c r="AJ478" i="1"/>
  <c r="W495" i="1"/>
  <c r="Y438" i="1"/>
  <c r="AL424" i="1"/>
  <c r="AO22" i="1"/>
  <c r="F537" i="1"/>
  <c r="AO563" i="1"/>
  <c r="AG245" i="1"/>
  <c r="T273" i="1"/>
  <c r="AH245" i="1"/>
  <c r="U273" i="1"/>
  <c r="AJ313" i="1"/>
  <c r="W340" i="1"/>
  <c r="AD273" i="1"/>
  <c r="X167" i="1"/>
  <c r="AK157" i="1"/>
  <c r="F178" i="1"/>
  <c r="AZ157" i="1"/>
  <c r="AC78" i="1"/>
  <c r="CH205" i="1"/>
  <c r="CH78" i="1" s="1"/>
  <c r="CE205" i="1"/>
  <c r="CE78" i="1" s="1"/>
  <c r="CF205" i="1"/>
  <c r="CF78" i="1" s="1"/>
  <c r="F399" i="1"/>
  <c r="F413" i="1" s="1"/>
  <c r="S380" i="1"/>
  <c r="CP325" i="1"/>
  <c r="O325" i="1" s="1"/>
  <c r="AB340" i="1" s="1"/>
  <c r="AP78" i="1"/>
  <c r="F214" i="1"/>
  <c r="AJ273" i="1"/>
  <c r="CY259" i="1"/>
  <c r="X259" i="1" s="1"/>
  <c r="CZ259" i="1"/>
  <c r="Y259" i="1" s="1"/>
  <c r="Q424" i="1"/>
  <c r="F450" i="1"/>
  <c r="F468" i="1" s="1"/>
  <c r="F395" i="1"/>
  <c r="AZ380" i="1"/>
  <c r="BA100" i="1"/>
  <c r="F137" i="1"/>
  <c r="BA205" i="1"/>
  <c r="F461" i="1"/>
  <c r="V424" i="1"/>
  <c r="GN382" i="1"/>
  <c r="CB384" i="1" s="1"/>
  <c r="CA384" i="1"/>
  <c r="CY251" i="1"/>
  <c r="X251" i="1" s="1"/>
  <c r="CH100" i="1"/>
  <c r="AY117" i="1"/>
  <c r="F189" i="1"/>
  <c r="U157" i="1"/>
  <c r="GN480" i="1"/>
  <c r="CE157" i="1"/>
  <c r="AV167" i="1"/>
  <c r="AQ78" i="1"/>
  <c r="F215" i="1"/>
  <c r="AT100" i="1"/>
  <c r="AT205" i="1"/>
  <c r="F135" i="1"/>
  <c r="AI340" i="1"/>
  <c r="CP254" i="1"/>
  <c r="O254" i="1" s="1"/>
  <c r="BB22" i="1"/>
  <c r="BB563" i="1"/>
  <c r="F546" i="1"/>
  <c r="CH380" i="1"/>
  <c r="AY384" i="1"/>
  <c r="CY482" i="1"/>
  <c r="X482" i="1" s="1"/>
  <c r="CZ482" i="1"/>
  <c r="Y482" i="1" s="1"/>
  <c r="AL495" i="1" s="1"/>
  <c r="AF495" i="1"/>
  <c r="AB380" i="1"/>
  <c r="O384" i="1"/>
  <c r="W205" i="1"/>
  <c r="W100" i="1"/>
  <c r="F141" i="1"/>
  <c r="BD78" i="1"/>
  <c r="F230" i="1"/>
  <c r="AX157" i="1"/>
  <c r="F174" i="1"/>
  <c r="GN249" i="1"/>
  <c r="HD249" i="1"/>
  <c r="CM273" i="1" s="1"/>
  <c r="F187" i="1"/>
  <c r="BA157" i="1"/>
  <c r="AX100" i="1"/>
  <c r="F124" i="1"/>
  <c r="AX205" i="1"/>
  <c r="X380" i="1"/>
  <c r="F410" i="1"/>
  <c r="F416" i="1" s="1"/>
  <c r="F391" i="1"/>
  <c r="AX380" i="1"/>
  <c r="AD38" i="1"/>
  <c r="O167" i="1"/>
  <c r="AB157" i="1"/>
  <c r="GM28" i="1"/>
  <c r="AW384" i="1"/>
  <c r="CF380" i="1"/>
  <c r="R438" i="1"/>
  <c r="AE424" i="1"/>
  <c r="AD340" i="1"/>
  <c r="W157" i="1"/>
  <c r="F191" i="1"/>
  <c r="AO78" i="1"/>
  <c r="F209" i="1"/>
  <c r="F462" i="1"/>
  <c r="W424" i="1"/>
  <c r="AL100" i="1"/>
  <c r="Y117" i="1"/>
  <c r="AX313" i="1"/>
  <c r="F347" i="1"/>
  <c r="P157" i="1"/>
  <c r="F170" i="1"/>
  <c r="F198" i="1" s="1"/>
  <c r="AU478" i="1"/>
  <c r="F514" i="1"/>
  <c r="CY325" i="1"/>
  <c r="X325" i="1" s="1"/>
  <c r="CZ325" i="1"/>
  <c r="Y325" i="1" s="1"/>
  <c r="GN94" i="1"/>
  <c r="CB205" i="1" s="1"/>
  <c r="CB78" i="1" s="1"/>
  <c r="CA205" i="1"/>
  <c r="CA78" i="1" s="1"/>
  <c r="AI38" i="1"/>
  <c r="GM104" i="1"/>
  <c r="GN104" i="1" s="1"/>
  <c r="CB167" i="1"/>
  <c r="AZ424" i="1"/>
  <c r="F449" i="1"/>
  <c r="AI478" i="1"/>
  <c r="V495" i="1"/>
  <c r="AV384" i="1"/>
  <c r="CE380" i="1"/>
  <c r="CJ340" i="1"/>
  <c r="AU78" i="1"/>
  <c r="F224" i="1"/>
  <c r="AU533" i="1"/>
  <c r="AE273" i="1"/>
  <c r="CY254" i="1"/>
  <c r="X254" i="1" s="1"/>
  <c r="CZ254" i="1"/>
  <c r="Y254" i="1" s="1"/>
  <c r="AL273" i="1" s="1"/>
  <c r="Q100" i="1"/>
  <c r="F129" i="1"/>
  <c r="F147" i="1" s="1"/>
  <c r="Q205" i="1"/>
  <c r="AE478" i="1"/>
  <c r="R495" i="1"/>
  <c r="F460" i="1"/>
  <c r="U424" i="1"/>
  <c r="AY167" i="1"/>
  <c r="CH157" i="1"/>
  <c r="T100" i="1"/>
  <c r="F138" i="1"/>
  <c r="T205" i="1"/>
  <c r="AZ313" i="1"/>
  <c r="F351" i="1"/>
  <c r="V100" i="1"/>
  <c r="F140" i="1"/>
  <c r="V205" i="1"/>
  <c r="CY31" i="1"/>
  <c r="X31" i="1" s="1"/>
  <c r="CZ31" i="1"/>
  <c r="Y31" i="1" s="1"/>
  <c r="AL38" i="1" s="1"/>
  <c r="AF38" i="1"/>
  <c r="AP22" i="1"/>
  <c r="F542" i="1"/>
  <c r="G16" i="2" s="1"/>
  <c r="G18" i="2" s="1"/>
  <c r="AP563" i="1"/>
  <c r="CA167" i="1"/>
  <c r="GM426" i="1"/>
  <c r="AB438" i="1"/>
  <c r="Q157" i="1"/>
  <c r="F179" i="1"/>
  <c r="F197" i="1" s="1"/>
  <c r="CJ273" i="1"/>
  <c r="CY32" i="1"/>
  <c r="X32" i="1" s="1"/>
  <c r="GM32" i="1" s="1"/>
  <c r="GN32" i="1" s="1"/>
  <c r="R100" i="1"/>
  <c r="F131" i="1"/>
  <c r="F459" i="1"/>
  <c r="T424" i="1"/>
  <c r="S424" i="1"/>
  <c r="F453" i="1"/>
  <c r="F467" i="1" s="1"/>
  <c r="CZ324" i="1"/>
  <c r="Y324" i="1" s="1"/>
  <c r="AL340" i="1" s="1"/>
  <c r="CY324" i="1"/>
  <c r="X324" i="1" s="1"/>
  <c r="AK340" i="1" s="1"/>
  <c r="AF340" i="1"/>
  <c r="F190" i="1"/>
  <c r="V157" i="1"/>
  <c r="AW167" i="1"/>
  <c r="CF157" i="1"/>
  <c r="S157" i="1"/>
  <c r="F182" i="1"/>
  <c r="F196" i="1" s="1"/>
  <c r="CY266" i="1"/>
  <c r="X266" i="1" s="1"/>
  <c r="CZ266" i="1"/>
  <c r="Y266" i="1" s="1"/>
  <c r="GM266" i="1" s="1"/>
  <c r="GN266" i="1" s="1"/>
  <c r="AB117" i="1"/>
  <c r="CP482" i="1"/>
  <c r="O482" i="1" s="1"/>
  <c r="AC495" i="1"/>
  <c r="F458" i="1"/>
  <c r="BA424" i="1"/>
  <c r="CH438" i="1"/>
  <c r="P438" i="1"/>
  <c r="AC424" i="1"/>
  <c r="CE438" i="1"/>
  <c r="CF438" i="1"/>
  <c r="AC340" i="1"/>
  <c r="AH478" i="1"/>
  <c r="U495" i="1"/>
  <c r="GN247" i="1"/>
  <c r="AW117" i="1"/>
  <c r="CF100" i="1"/>
  <c r="AZ478" i="1"/>
  <c r="F506" i="1"/>
  <c r="BC78" i="1"/>
  <c r="F221" i="1"/>
  <c r="BC533" i="1"/>
  <c r="AF100" i="1"/>
  <c r="S117" i="1"/>
  <c r="AE26" i="1"/>
  <c r="R38" i="1"/>
  <c r="U340" i="1"/>
  <c r="AH313" i="1"/>
  <c r="CJ38" i="1"/>
  <c r="GN102" i="1"/>
  <c r="CB117" i="1" s="1"/>
  <c r="CA117" i="1"/>
  <c r="CP31" i="1"/>
  <c r="O31" i="1" s="1"/>
  <c r="AC38" i="1"/>
  <c r="AZ205" i="1"/>
  <c r="AZ100" i="1"/>
  <c r="F128" i="1"/>
  <c r="AD478" i="1"/>
  <c r="Q495" i="1"/>
  <c r="AG478" i="1"/>
  <c r="T495" i="1"/>
  <c r="AG340" i="1"/>
  <c r="AV117" i="1"/>
  <c r="CE100" i="1"/>
  <c r="BA478" i="1"/>
  <c r="F515" i="1"/>
  <c r="U100" i="1"/>
  <c r="F139" i="1"/>
  <c r="U205" i="1"/>
  <c r="AK495" i="1"/>
  <c r="GM259" i="1"/>
  <c r="GN259" i="1" s="1"/>
  <c r="AX424" i="1"/>
  <c r="F445" i="1"/>
  <c r="F188" i="1"/>
  <c r="T157" i="1"/>
  <c r="AQ533" i="1"/>
  <c r="AE157" i="1"/>
  <c r="R167" i="1"/>
  <c r="CP251" i="1"/>
  <c r="O251" i="1" s="1"/>
  <c r="GM251" i="1" s="1"/>
  <c r="GN251" i="1" s="1"/>
  <c r="AC273" i="1"/>
  <c r="AH38" i="1"/>
  <c r="AZ26" i="1"/>
  <c r="F49" i="1"/>
  <c r="Y380" i="1"/>
  <c r="F411" i="1"/>
  <c r="F417" i="1" s="1"/>
  <c r="GN315" i="1"/>
  <c r="P380" i="1"/>
  <c r="F387" i="1"/>
  <c r="F415" i="1" s="1"/>
  <c r="AF273" i="1"/>
  <c r="BB78" i="1"/>
  <c r="F218" i="1"/>
  <c r="X438" i="1"/>
  <c r="AK424" i="1"/>
  <c r="GM258" i="1"/>
  <c r="GN258" i="1" s="1"/>
  <c r="P100" i="1"/>
  <c r="P205" i="1"/>
  <c r="F120" i="1"/>
  <c r="F148" i="1" s="1"/>
  <c r="Y340" i="1" l="1"/>
  <c r="AL313" i="1"/>
  <c r="AL26" i="1"/>
  <c r="Y38" i="1"/>
  <c r="AB313" i="1"/>
  <c r="O340" i="1"/>
  <c r="AL245" i="1"/>
  <c r="Y273" i="1"/>
  <c r="BC22" i="1"/>
  <c r="F549" i="1"/>
  <c r="BC563" i="1"/>
  <c r="AE245" i="1"/>
  <c r="R273" i="1"/>
  <c r="Y100" i="1"/>
  <c r="Y205" i="1"/>
  <c r="F144" i="1"/>
  <c r="F150" i="1" s="1"/>
  <c r="Q340" i="1"/>
  <c r="AD313" i="1"/>
  <c r="AD26" i="1"/>
  <c r="Q38" i="1"/>
  <c r="AL478" i="1"/>
  <c r="Y495" i="1"/>
  <c r="AI313" i="1"/>
  <c r="V340" i="1"/>
  <c r="AS384" i="1"/>
  <c r="CB380" i="1"/>
  <c r="X100" i="1"/>
  <c r="X205" i="1"/>
  <c r="F143" i="1"/>
  <c r="F149" i="1" s="1"/>
  <c r="U38" i="1"/>
  <c r="AH26" i="1"/>
  <c r="AY438" i="1"/>
  <c r="CH424" i="1"/>
  <c r="AC245" i="1"/>
  <c r="CE273" i="1"/>
  <c r="CF273" i="1"/>
  <c r="CH273" i="1"/>
  <c r="P273" i="1"/>
  <c r="U478" i="1"/>
  <c r="F517" i="1"/>
  <c r="CJ245" i="1"/>
  <c r="BA273" i="1"/>
  <c r="R478" i="1"/>
  <c r="F509" i="1"/>
  <c r="AU22" i="1"/>
  <c r="F552" i="1"/>
  <c r="AU563" i="1"/>
  <c r="F418" i="1"/>
  <c r="F193" i="1"/>
  <c r="F199" i="1" s="1"/>
  <c r="X157" i="1"/>
  <c r="AO18" i="1"/>
  <c r="F567" i="1"/>
  <c r="CJ26" i="1"/>
  <c r="BA38" i="1"/>
  <c r="AV100" i="1"/>
  <c r="F122" i="1"/>
  <c r="AV205" i="1"/>
  <c r="U313" i="1"/>
  <c r="F362" i="1"/>
  <c r="S38" i="1"/>
  <c r="AF26" i="1"/>
  <c r="T78" i="1"/>
  <c r="F226" i="1"/>
  <c r="R424" i="1"/>
  <c r="F452" i="1"/>
  <c r="CM245" i="1"/>
  <c r="BD273" i="1"/>
  <c r="F392" i="1"/>
  <c r="AY380" i="1"/>
  <c r="AT78" i="1"/>
  <c r="F223" i="1"/>
  <c r="AT533" i="1"/>
  <c r="AD245" i="1"/>
  <c r="Q273" i="1"/>
  <c r="F194" i="1"/>
  <c r="F200" i="1" s="1"/>
  <c r="Y157" i="1"/>
  <c r="F62" i="1"/>
  <c r="W26" i="1"/>
  <c r="F464" i="1"/>
  <c r="F470" i="1" s="1"/>
  <c r="X424" i="1"/>
  <c r="R157" i="1"/>
  <c r="F181" i="1"/>
  <c r="AK478" i="1"/>
  <c r="X495" i="1"/>
  <c r="AB273" i="1"/>
  <c r="AZ78" i="1"/>
  <c r="F216" i="1"/>
  <c r="CF340" i="1"/>
  <c r="AC313" i="1"/>
  <c r="P340" i="1"/>
  <c r="CE340" i="1"/>
  <c r="CH340" i="1"/>
  <c r="AC478" i="1"/>
  <c r="CF495" i="1"/>
  <c r="CH495" i="1"/>
  <c r="P495" i="1"/>
  <c r="CE495" i="1"/>
  <c r="AW157" i="1"/>
  <c r="F173" i="1"/>
  <c r="Q78" i="1"/>
  <c r="F217" i="1"/>
  <c r="F235" i="1" s="1"/>
  <c r="CB157" i="1"/>
  <c r="AS167" i="1"/>
  <c r="BA78" i="1"/>
  <c r="F225" i="1"/>
  <c r="W313" i="1"/>
  <c r="F364" i="1"/>
  <c r="R313" i="1"/>
  <c r="F354" i="1"/>
  <c r="U78" i="1"/>
  <c r="F227" i="1"/>
  <c r="CE38" i="1"/>
  <c r="AC26" i="1"/>
  <c r="CF38" i="1"/>
  <c r="CH38" i="1"/>
  <c r="P38" i="1"/>
  <c r="GM482" i="1"/>
  <c r="AB495" i="1"/>
  <c r="AK38" i="1"/>
  <c r="BA340" i="1"/>
  <c r="CJ313" i="1"/>
  <c r="F390" i="1"/>
  <c r="AW380" i="1"/>
  <c r="W78" i="1"/>
  <c r="F229" i="1"/>
  <c r="AY205" i="1"/>
  <c r="F125" i="1"/>
  <c r="AY100" i="1"/>
  <c r="AJ245" i="1"/>
  <c r="W273" i="1"/>
  <c r="F201" i="1"/>
  <c r="AG313" i="1"/>
  <c r="T340" i="1"/>
  <c r="F52" i="1"/>
  <c r="R26" i="1"/>
  <c r="CF424" i="1"/>
  <c r="AW438" i="1"/>
  <c r="O438" i="1"/>
  <c r="AB424" i="1"/>
  <c r="AZ533" i="1"/>
  <c r="AQ22" i="1"/>
  <c r="F543" i="1"/>
  <c r="AQ563" i="1"/>
  <c r="T478" i="1"/>
  <c r="F516" i="1"/>
  <c r="GM31" i="1"/>
  <c r="GN31" i="1" s="1"/>
  <c r="AB38" i="1"/>
  <c r="CE424" i="1"/>
  <c r="AV438" i="1"/>
  <c r="O117" i="1"/>
  <c r="AB100" i="1"/>
  <c r="R205" i="1"/>
  <c r="CA438" i="1"/>
  <c r="GN426" i="1"/>
  <c r="CB438" i="1" s="1"/>
  <c r="V78" i="1"/>
  <c r="F228" i="1"/>
  <c r="AI26" i="1"/>
  <c r="V38" i="1"/>
  <c r="GN28" i="1"/>
  <c r="CB38" i="1" s="1"/>
  <c r="CA38" i="1"/>
  <c r="AX78" i="1"/>
  <c r="F212" i="1"/>
  <c r="AX533" i="1"/>
  <c r="O380" i="1"/>
  <c r="F386" i="1"/>
  <c r="BB18" i="1"/>
  <c r="F576" i="1"/>
  <c r="U245" i="1"/>
  <c r="F295" i="1"/>
  <c r="Y424" i="1"/>
  <c r="F465" i="1"/>
  <c r="F471" i="1" s="1"/>
  <c r="V245" i="1"/>
  <c r="F296" i="1"/>
  <c r="T26" i="1"/>
  <c r="F59" i="1"/>
  <c r="T533" i="1"/>
  <c r="AF245" i="1"/>
  <c r="S273" i="1"/>
  <c r="AR117" i="1"/>
  <c r="CA100" i="1"/>
  <c r="F132" i="1"/>
  <c r="F146" i="1" s="1"/>
  <c r="F151" i="1" s="1"/>
  <c r="S205" i="1"/>
  <c r="S100" i="1"/>
  <c r="AW100" i="1"/>
  <c r="F123" i="1"/>
  <c r="AW205" i="1"/>
  <c r="AF313" i="1"/>
  <c r="S340" i="1"/>
  <c r="CA157" i="1"/>
  <c r="AR167" i="1"/>
  <c r="AY157" i="1"/>
  <c r="F175" i="1"/>
  <c r="AV380" i="1"/>
  <c r="F389" i="1"/>
  <c r="AV157" i="1"/>
  <c r="F172" i="1"/>
  <c r="AK273" i="1"/>
  <c r="W478" i="1"/>
  <c r="F519" i="1"/>
  <c r="P78" i="1"/>
  <c r="F208" i="1"/>
  <c r="F236" i="1" s="1"/>
  <c r="Q478" i="1"/>
  <c r="F507" i="1"/>
  <c r="F525" i="1" s="1"/>
  <c r="CB100" i="1"/>
  <c r="AS117" i="1"/>
  <c r="P424" i="1"/>
  <c r="F441" i="1"/>
  <c r="F469" i="1" s="1"/>
  <c r="F472" i="1" s="1"/>
  <c r="AK313" i="1"/>
  <c r="X340" i="1"/>
  <c r="AP18" i="1"/>
  <c r="F572" i="1"/>
  <c r="V478" i="1"/>
  <c r="F518" i="1"/>
  <c r="O157" i="1"/>
  <c r="F169" i="1"/>
  <c r="AF478" i="1"/>
  <c r="S495" i="1"/>
  <c r="GM254" i="1"/>
  <c r="GN254" i="1" s="1"/>
  <c r="CB273" i="1" s="1"/>
  <c r="CA380" i="1"/>
  <c r="AR384" i="1"/>
  <c r="GM325" i="1"/>
  <c r="GN325" i="1" s="1"/>
  <c r="T245" i="1"/>
  <c r="F294" i="1"/>
  <c r="GM324" i="1"/>
  <c r="CB245" i="1" l="1"/>
  <c r="AS273" i="1"/>
  <c r="F473" i="1"/>
  <c r="F474" i="1" s="1"/>
  <c r="F366" i="1"/>
  <c r="F372" i="1" s="1"/>
  <c r="X313" i="1"/>
  <c r="AW78" i="1"/>
  <c r="F211" i="1"/>
  <c r="S245" i="1"/>
  <c r="F288" i="1"/>
  <c r="F302" i="1" s="1"/>
  <c r="AS438" i="1"/>
  <c r="CB424" i="1"/>
  <c r="O424" i="1"/>
  <c r="F440" i="1"/>
  <c r="F202" i="1"/>
  <c r="F203" i="1" s="1"/>
  <c r="CH26" i="1"/>
  <c r="AY38" i="1"/>
  <c r="CH313" i="1"/>
  <c r="AY340" i="1"/>
  <c r="X478" i="1"/>
  <c r="F521" i="1"/>
  <c r="F527" i="1" s="1"/>
  <c r="BA26" i="1"/>
  <c r="F58" i="1"/>
  <c r="BA533" i="1"/>
  <c r="AU18" i="1"/>
  <c r="F582" i="1"/>
  <c r="AY424" i="1"/>
  <c r="F446" i="1"/>
  <c r="V313" i="1"/>
  <c r="F363" i="1"/>
  <c r="Y245" i="1"/>
  <c r="F300" i="1"/>
  <c r="F306" i="1" s="1"/>
  <c r="GN324" i="1"/>
  <c r="CB340" i="1" s="1"/>
  <c r="CA340" i="1"/>
  <c r="AR438" i="1"/>
  <c r="CA424" i="1"/>
  <c r="AW424" i="1"/>
  <c r="F444" i="1"/>
  <c r="W245" i="1"/>
  <c r="F297" i="1"/>
  <c r="CF26" i="1"/>
  <c r="AW38" i="1"/>
  <c r="CE313" i="1"/>
  <c r="AV340" i="1"/>
  <c r="S26" i="1"/>
  <c r="F53" i="1"/>
  <c r="F67" i="1" s="1"/>
  <c r="S533" i="1"/>
  <c r="Y78" i="1"/>
  <c r="F232" i="1"/>
  <c r="F238" i="1" s="1"/>
  <c r="T22" i="1"/>
  <c r="F554" i="1"/>
  <c r="T563" i="1"/>
  <c r="CA26" i="1"/>
  <c r="AR38" i="1"/>
  <c r="R78" i="1"/>
  <c r="F219" i="1"/>
  <c r="P313" i="1"/>
  <c r="F343" i="1"/>
  <c r="F371" i="1" s="1"/>
  <c r="BD245" i="1"/>
  <c r="F298" i="1"/>
  <c r="BD533" i="1"/>
  <c r="P245" i="1"/>
  <c r="F276" i="1"/>
  <c r="F304" i="1" s="1"/>
  <c r="U26" i="1"/>
  <c r="F60" i="1"/>
  <c r="U533" i="1"/>
  <c r="Y478" i="1"/>
  <c r="F522" i="1"/>
  <c r="F528" i="1" s="1"/>
  <c r="F342" i="1"/>
  <c r="O313" i="1"/>
  <c r="CB26" i="1"/>
  <c r="AS38" i="1"/>
  <c r="AQ18" i="1"/>
  <c r="F573" i="1"/>
  <c r="R533" i="1"/>
  <c r="BA313" i="1"/>
  <c r="F360" i="1"/>
  <c r="CE26" i="1"/>
  <c r="AV38" i="1"/>
  <c r="CE478" i="1"/>
  <c r="AV495" i="1"/>
  <c r="Q245" i="1"/>
  <c r="F285" i="1"/>
  <c r="F303" i="1" s="1"/>
  <c r="CH245" i="1"/>
  <c r="AY273" i="1"/>
  <c r="R245" i="1"/>
  <c r="F287" i="1"/>
  <c r="S478" i="1"/>
  <c r="F510" i="1"/>
  <c r="F524" i="1" s="1"/>
  <c r="CA273" i="1"/>
  <c r="F195" i="1"/>
  <c r="AR157" i="1"/>
  <c r="S78" i="1"/>
  <c r="F220" i="1"/>
  <c r="F234" i="1" s="1"/>
  <c r="V26" i="1"/>
  <c r="F61" i="1"/>
  <c r="V533" i="1"/>
  <c r="O205" i="1"/>
  <c r="O100" i="1"/>
  <c r="F119" i="1"/>
  <c r="AK26" i="1"/>
  <c r="X38" i="1"/>
  <c r="P478" i="1"/>
  <c r="F498" i="1"/>
  <c r="F526" i="1" s="1"/>
  <c r="AW340" i="1"/>
  <c r="CF313" i="1"/>
  <c r="AV78" i="1"/>
  <c r="F210" i="1"/>
  <c r="CF245" i="1"/>
  <c r="AW273" i="1"/>
  <c r="X78" i="1"/>
  <c r="F231" i="1"/>
  <c r="F237" i="1" s="1"/>
  <c r="F50" i="1"/>
  <c r="F68" i="1" s="1"/>
  <c r="Q26" i="1"/>
  <c r="Q533" i="1"/>
  <c r="F65" i="1"/>
  <c r="F71" i="1" s="1"/>
  <c r="Y26" i="1"/>
  <c r="Y533" i="1"/>
  <c r="AR380" i="1"/>
  <c r="F412" i="1"/>
  <c r="AS100" i="1"/>
  <c r="AS205" i="1"/>
  <c r="F134" i="1"/>
  <c r="AK245" i="1"/>
  <c r="X273" i="1"/>
  <c r="F443" i="1"/>
  <c r="AV424" i="1"/>
  <c r="AY78" i="1"/>
  <c r="F213" i="1"/>
  <c r="AB478" i="1"/>
  <c r="O495" i="1"/>
  <c r="AS157" i="1"/>
  <c r="F184" i="1"/>
  <c r="CH478" i="1"/>
  <c r="AY495" i="1"/>
  <c r="AT22" i="1"/>
  <c r="AT563" i="1"/>
  <c r="F551" i="1"/>
  <c r="F16" i="2" s="1"/>
  <c r="F18" i="2" s="1"/>
  <c r="BA245" i="1"/>
  <c r="F293" i="1"/>
  <c r="CE245" i="1"/>
  <c r="AV273" i="1"/>
  <c r="BC18" i="1"/>
  <c r="F579" i="1"/>
  <c r="F152" i="1"/>
  <c r="F153" i="1" s="1"/>
  <c r="S313" i="1"/>
  <c r="F355" i="1"/>
  <c r="F369" i="1" s="1"/>
  <c r="AZ22" i="1"/>
  <c r="AZ563" i="1"/>
  <c r="F544" i="1"/>
  <c r="T313" i="1"/>
  <c r="F361" i="1"/>
  <c r="GN482" i="1"/>
  <c r="CB495" i="1" s="1"/>
  <c r="CA495" i="1"/>
  <c r="CF478" i="1"/>
  <c r="AW495" i="1"/>
  <c r="W533" i="1"/>
  <c r="F419" i="1"/>
  <c r="F420" i="1"/>
  <c r="F145" i="1"/>
  <c r="AR205" i="1"/>
  <c r="AR100" i="1"/>
  <c r="AX22" i="1"/>
  <c r="AX563" i="1"/>
  <c r="F540" i="1"/>
  <c r="AB26" i="1"/>
  <c r="O38" i="1"/>
  <c r="F41" i="1"/>
  <c r="F69" i="1" s="1"/>
  <c r="P26" i="1"/>
  <c r="P533" i="1"/>
  <c r="AB245" i="1"/>
  <c r="O273" i="1"/>
  <c r="F401" i="1"/>
  <c r="AS380" i="1"/>
  <c r="Q313" i="1"/>
  <c r="F352" i="1"/>
  <c r="F370" i="1" s="1"/>
  <c r="Y313" i="1"/>
  <c r="F367" i="1"/>
  <c r="F373" i="1" s="1"/>
  <c r="P22" i="1" l="1"/>
  <c r="F536" i="1"/>
  <c r="P563" i="1"/>
  <c r="W22" i="1"/>
  <c r="F557" i="1"/>
  <c r="W563" i="1"/>
  <c r="AZ18" i="1"/>
  <c r="F574" i="1"/>
  <c r="AV245" i="1"/>
  <c r="F278" i="1"/>
  <c r="Y22" i="1"/>
  <c r="F560" i="1"/>
  <c r="Y563" i="1"/>
  <c r="AW245" i="1"/>
  <c r="F279" i="1"/>
  <c r="F64" i="1"/>
  <c r="F70" i="1" s="1"/>
  <c r="X26" i="1"/>
  <c r="X533" i="1"/>
  <c r="F239" i="1"/>
  <c r="AR26" i="1"/>
  <c r="F66" i="1"/>
  <c r="S22" i="1"/>
  <c r="S563" i="1"/>
  <c r="F548" i="1"/>
  <c r="O245" i="1"/>
  <c r="F275" i="1"/>
  <c r="AW478" i="1"/>
  <c r="F501" i="1"/>
  <c r="X245" i="1"/>
  <c r="F299" i="1"/>
  <c r="F305" i="1" s="1"/>
  <c r="AY245" i="1"/>
  <c r="F281" i="1"/>
  <c r="BD22" i="1"/>
  <c r="F558" i="1"/>
  <c r="BD563" i="1"/>
  <c r="F72" i="1"/>
  <c r="AX18" i="1"/>
  <c r="F570" i="1"/>
  <c r="F374" i="1"/>
  <c r="T18" i="1"/>
  <c r="F584" i="1"/>
  <c r="CA478" i="1"/>
  <c r="AR495" i="1"/>
  <c r="O478" i="1"/>
  <c r="F497" i="1"/>
  <c r="Q22" i="1"/>
  <c r="F545" i="1"/>
  <c r="Q563" i="1"/>
  <c r="R22" i="1"/>
  <c r="R563" i="1"/>
  <c r="F547" i="1"/>
  <c r="AV313" i="1"/>
  <c r="F345" i="1"/>
  <c r="AR78" i="1"/>
  <c r="F233" i="1"/>
  <c r="AS78" i="1"/>
  <c r="F222" i="1"/>
  <c r="O78" i="1"/>
  <c r="F207" i="1"/>
  <c r="CA245" i="1"/>
  <c r="AR273" i="1"/>
  <c r="U22" i="1"/>
  <c r="U563" i="1"/>
  <c r="F555" i="1"/>
  <c r="F466" i="1"/>
  <c r="AR424" i="1"/>
  <c r="AY313" i="1"/>
  <c r="F348" i="1"/>
  <c r="AW313" i="1"/>
  <c r="F346" i="1"/>
  <c r="V22" i="1"/>
  <c r="F556" i="1"/>
  <c r="V563" i="1"/>
  <c r="F529" i="1"/>
  <c r="AV478" i="1"/>
  <c r="F500" i="1"/>
  <c r="AW26" i="1"/>
  <c r="F44" i="1"/>
  <c r="AW533" i="1"/>
  <c r="CA313" i="1"/>
  <c r="AR340" i="1"/>
  <c r="AS424" i="1"/>
  <c r="F455" i="1"/>
  <c r="CB478" i="1"/>
  <c r="AS495" i="1"/>
  <c r="F55" i="1"/>
  <c r="AS26" i="1"/>
  <c r="AS340" i="1"/>
  <c r="CB313" i="1"/>
  <c r="AY26" i="1"/>
  <c r="F46" i="1"/>
  <c r="AY533" i="1"/>
  <c r="F307" i="1"/>
  <c r="AS245" i="1"/>
  <c r="F290" i="1"/>
  <c r="AT18" i="1"/>
  <c r="F581" i="1"/>
  <c r="F40" i="1"/>
  <c r="O26" i="1"/>
  <c r="O533" i="1"/>
  <c r="F503" i="1"/>
  <c r="AY478" i="1"/>
  <c r="AV26" i="1"/>
  <c r="F43" i="1"/>
  <c r="AV533" i="1"/>
  <c r="BA22" i="1"/>
  <c r="BA563" i="1"/>
  <c r="F553" i="1"/>
  <c r="H16" i="2" s="1"/>
  <c r="H18" i="2" s="1"/>
  <c r="AW22" i="1" l="1"/>
  <c r="AW563" i="1"/>
  <c r="F539" i="1"/>
  <c r="U18" i="1"/>
  <c r="F585" i="1"/>
  <c r="F375" i="1"/>
  <c r="F376" i="1" s="1"/>
  <c r="S18" i="1"/>
  <c r="F578" i="1"/>
  <c r="F592" i="1" s="1"/>
  <c r="AY22" i="1"/>
  <c r="F541" i="1"/>
  <c r="AY563" i="1"/>
  <c r="AS478" i="1"/>
  <c r="F512" i="1"/>
  <c r="AR245" i="1"/>
  <c r="F301" i="1"/>
  <c r="AR533" i="1"/>
  <c r="W18" i="1"/>
  <c r="F587" i="1"/>
  <c r="F73" i="1"/>
  <c r="F74" i="1" s="1"/>
  <c r="Y18" i="1"/>
  <c r="F590" i="1"/>
  <c r="F596" i="1" s="1"/>
  <c r="AR478" i="1"/>
  <c r="F523" i="1"/>
  <c r="BD18" i="1"/>
  <c r="F588" i="1"/>
  <c r="BA18" i="1"/>
  <c r="F583" i="1"/>
  <c r="F530" i="1"/>
  <c r="F531" i="1"/>
  <c r="R18" i="1"/>
  <c r="F577" i="1"/>
  <c r="F240" i="1"/>
  <c r="F241" i="1" s="1"/>
  <c r="P18" i="1"/>
  <c r="F566" i="1"/>
  <c r="F594" i="1" s="1"/>
  <c r="O22" i="1"/>
  <c r="F535" i="1"/>
  <c r="O563" i="1"/>
  <c r="AS313" i="1"/>
  <c r="F357" i="1"/>
  <c r="V18" i="1"/>
  <c r="F586" i="1"/>
  <c r="X22" i="1"/>
  <c r="F559" i="1"/>
  <c r="X563" i="1"/>
  <c r="F308" i="1"/>
  <c r="F309" i="1" s="1"/>
  <c r="AV22" i="1"/>
  <c r="AV563" i="1"/>
  <c r="F538" i="1"/>
  <c r="AR313" i="1"/>
  <c r="F368" i="1"/>
  <c r="AS533" i="1"/>
  <c r="Q18" i="1"/>
  <c r="F575" i="1"/>
  <c r="F593" i="1" s="1"/>
  <c r="J16" i="2"/>
  <c r="J18" i="2" s="1"/>
  <c r="O18" i="1" l="1"/>
  <c r="F565" i="1"/>
  <c r="X18" i="1"/>
  <c r="F589" i="1"/>
  <c r="F595" i="1" s="1"/>
  <c r="F597" i="1" s="1"/>
  <c r="AY18" i="1"/>
  <c r="F571" i="1"/>
  <c r="AV18" i="1"/>
  <c r="F568" i="1"/>
  <c r="AS22" i="1"/>
  <c r="AS563" i="1"/>
  <c r="F550" i="1"/>
  <c r="E16" i="2" s="1"/>
  <c r="AW18" i="1"/>
  <c r="F569" i="1"/>
  <c r="AR22" i="1"/>
  <c r="AR563" i="1"/>
  <c r="F561" i="1"/>
  <c r="F598" i="1" l="1"/>
  <c r="F599" i="1" s="1"/>
  <c r="I16" i="2"/>
  <c r="I18" i="2" s="1"/>
  <c r="E18" i="2"/>
  <c r="AR18" i="1"/>
  <c r="F591" i="1"/>
  <c r="AS18" i="1"/>
  <c r="F580" i="1"/>
</calcChain>
</file>

<file path=xl/sharedStrings.xml><?xml version="1.0" encoding="utf-8"?>
<sst xmlns="http://schemas.openxmlformats.org/spreadsheetml/2006/main" count="17138" uniqueCount="1290">
  <si>
    <t>Smeta.RU Flash  (495) 974-1589</t>
  </si>
  <si>
    <t>_PS_</t>
  </si>
  <si>
    <t>Smeta.RU Flash</t>
  </si>
  <si>
    <t/>
  </si>
  <si>
    <t>Новый объект</t>
  </si>
  <si>
    <t>Благоустройство кладбища в д. Нижнее Николаевское</t>
  </si>
  <si>
    <t>Сметные нормы списания</t>
  </si>
  <si>
    <t>Коды ценников</t>
  </si>
  <si>
    <t>Чувашская Республика (редакция 2014)</t>
  </si>
  <si>
    <t>Версия 1.7.4 ГСН (ГЭСН, ФЕР) и ТЕР (Методики НР (812/пр, 636/пр, 611/пр) и СП (774/пр и 317/пр) применять с 08.01.2023 г.)</t>
  </si>
  <si>
    <t>Поправки для НБ 2014 года от 18.04.2024 г (55/пр) Строительство</t>
  </si>
  <si>
    <t>Территориальные единичные расценки Чувашской Республики, утвержденные приказом Минстроя России от  05.05.2015 № 337/пр</t>
  </si>
  <si>
    <t>ТЕР</t>
  </si>
  <si>
    <t>Новая локальная смета</t>
  </si>
  <si>
    <t>Новый раздел</t>
  </si>
  <si>
    <t>Подготовительные работы</t>
  </si>
  <si>
    <t>1</t>
  </si>
  <si>
    <t>01-02-099-1</t>
  </si>
  <si>
    <t>Валка деревьев мягких пород с корня, диаметр стволов до 16 см</t>
  </si>
  <si>
    <t>100 деревьев</t>
  </si>
  <si>
    <t>ТЕР Чувашская республика (редакция 2014), 01-02-099-1, Приказ Минстроя России от 05.05.2015 № 337/пр</t>
  </si>
  <si>
    <t>Общестроительные работы</t>
  </si>
  <si>
    <t>Земляные работы</t>
  </si>
  <si>
    <t>Земляные работы, выполняемые: по другим видам работ ( подготовительные, сопутствующие, укрепительные )</t>
  </si>
  <si>
    <t>ФЕР-01</t>
  </si>
  <si>
    <t>Пр/812-001.4-1</t>
  </si>
  <si>
    <t>Пр/774-001.4</t>
  </si>
  <si>
    <t>Земляные работы, выполняемые: по другим видам работ (подготовительные, сопутствующие, укрепительные)</t>
  </si>
  <si>
    <t>2</t>
  </si>
  <si>
    <t>01-02-111-3</t>
  </si>
  <si>
    <t>Корчевка вручную пней диаметром от 190 до 250 мм</t>
  </si>
  <si>
    <t>100 пней</t>
  </si>
  <si>
    <t>ТЕР Чувашская республика (редакция 2014), 01-02-111-3, Приказ Минстроя России от 05.05.2015 № 337/пр</t>
  </si>
  <si>
    <t>3</t>
  </si>
  <si>
    <t>09-08-001-1</t>
  </si>
  <si>
    <t>Применительно: Демонтаж железобетонных столбов</t>
  </si>
  <si>
    <t>100 столбов</t>
  </si>
  <si>
    <t>ТЕР Чувашская республика (редакция 2014), 09-08-001-1, Приказ Минстроя России от 05.05.2015 № 337/пр</t>
  </si>
  <si>
    <t>*0</t>
  </si>
  <si>
    <t>*0,8</t>
  </si>
  <si>
    <t>Строительные металлические конструкции</t>
  </si>
  <si>
    <t>ФЕР-09</t>
  </si>
  <si>
    <t>Пр/812-009.0-1</t>
  </si>
  <si>
    <t>Пр/774-009.0</t>
  </si>
  <si>
    <t>3,1</t>
  </si>
  <si>
    <t>201-9212</t>
  </si>
  <si>
    <t>Стойки металлические опорные</t>
  </si>
  <si>
    <t>шт.</t>
  </si>
  <si>
    <t>ТССЦ Чувашская республика (редакция 2014), 201-9212, Приказ Минстроя России от 05.05.2015 № 337/пр</t>
  </si>
  <si>
    <t>3,2</t>
  </si>
  <si>
    <t>401-9021</t>
  </si>
  <si>
    <t>Бетон</t>
  </si>
  <si>
    <t>м3</t>
  </si>
  <si>
    <t>ТССЦ Чувашская республика (редакция 2014), 401-9021, Приказ Минстроя России от 05.05.2015 № 337/пр</t>
  </si>
  <si>
    <t>4</t>
  </si>
  <si>
    <t>07-01-054-7</t>
  </si>
  <si>
    <t>Установка металлических оград по железобетонным столбам без цоколя из сетки высотой до 1,2 м. Демонтаж.</t>
  </si>
  <si>
    <t>100 м ограды</t>
  </si>
  <si>
    <t>ТЕР Чувашская республика (редакция 2014), 07-01-054-7, Приказ Минстроя России от 05.05.2015 № 337/пр</t>
  </si>
  <si>
    <t>*0,7</t>
  </si>
  <si>
    <t>Бетонные и железобетонные сборные конструкции и работы в строительстве</t>
  </si>
  <si>
    <t>ФЕР-07</t>
  </si>
  <si>
    <t>Пр/812-007.0-1</t>
  </si>
  <si>
    <t>Пр/774-007.0</t>
  </si>
  <si>
    <t>4,1</t>
  </si>
  <si>
    <t>403-9120</t>
  </si>
  <si>
    <t>Столбы бетонные</t>
  </si>
  <si>
    <t>ТССЦ Чувашская республика (редакция 2014), 403-9120, Приказ Минстроя России от 05.05.2015 № 337/пр</t>
  </si>
  <si>
    <t>5</t>
  </si>
  <si>
    <t>46-06-001-4</t>
  </si>
  <si>
    <t>Разборка надземной части без сохранения годных материалов деревянных зданий любой этажности</t>
  </si>
  <si>
    <t>10 м3 строительного объема</t>
  </si>
  <si>
    <t>ТЕР Чувашская республика (редакция 2014), 46-06-001-4, Приказ Минстроя России от 05.05.2015 № 337/пр</t>
  </si>
  <si>
    <t>Работы по реконструкции зданий и сооружений</t>
  </si>
  <si>
    <t>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</si>
  <si>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ФЕР-46</t>
  </si>
  <si>
    <t>Пр/812-040.2-1</t>
  </si>
  <si>
    <t>Пр/774-040.2</t>
  </si>
  <si>
    <t>46-06-009-3</t>
  </si>
  <si>
    <t>Разборка зданий методом обрушения деревянных жилых домов и прочих отапливаемых зданий</t>
  </si>
  <si>
    <t>100 м3 строительного объема, включая подвал</t>
  </si>
  <si>
    <t>ТЕР Чувашская республика (редакция 2014), 46-06-009-3, Приказ Минстроя России от 05.05.2015 № 337/пр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</si>
  <si>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</si>
  <si>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</si>
  <si>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</si>
  <si>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</si>
  <si>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</si>
  <si>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</si>
  <si>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</si>
  <si>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</si>
  <si>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</si>
  <si>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</si>
  <si>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</si>
  <si>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</si>
  <si>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</si>
  <si>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</si>
  <si>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</si>
  <si>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</si>
  <si>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</si>
  <si>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</si>
  <si>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</si>
  <si>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</si>
  <si>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</si>
  <si>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</si>
  <si>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</si>
  <si>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</si>
  <si>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</si>
  <si>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</si>
  <si>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</si>
  <si>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</si>
  <si>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</si>
  <si>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</si>
  <si>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</si>
  <si>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</si>
  <si>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</si>
  <si>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</si>
  <si>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</si>
  <si>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</si>
  <si>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</si>
  <si>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</si>
  <si>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</si>
  <si>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</si>
  <si>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</si>
  <si>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</si>
  <si>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</si>
  <si>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</si>
  <si>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</si>
  <si>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</si>
  <si>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</si>
  <si>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</si>
  <si>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</si>
  <si>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</si>
  <si>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</si>
  <si>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</si>
  <si>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</si>
  <si>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</si>
  <si>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</si>
  <si>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</si>
  <si>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</si>
  <si>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</si>
  <si>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</si>
  <si>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</si>
  <si>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</si>
  <si>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</si>
  <si>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В</t>
  </si>
  <si>
    <t>НДС</t>
  </si>
  <si>
    <t>НДС 20%</t>
  </si>
  <si>
    <t>И</t>
  </si>
  <si>
    <t>Итого с НДС</t>
  </si>
  <si>
    <t>Ограждение территории</t>
  </si>
  <si>
    <t>Установка металлических столбов высотой до 4 м с погружением в бетонное основание. Применительно. Установка железобетонных столбов</t>
  </si>
  <si>
    <t>401-0087</t>
  </si>
  <si>
    <t>Бетон тяжелый, крупность заполнителя 10 мм, класс В20 (М250)</t>
  </si>
  <si>
    <t>ТССЦ Чувашская республика (редакция 2014), 401-0087, Приказ Минстроя России от 05.05.2015 № 337/пр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</si>
  <si>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</si>
  <si>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</si>
  <si>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</si>
  <si>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27-09-001-6</t>
  </si>
  <si>
    <t>Устройство ограждений из сетки</t>
  </si>
  <si>
    <t>100 м</t>
  </si>
  <si>
    <t>ТЕР Чувашская республика (редакция 2014), 27-09-001-6, Приказ Минстроя России от 05.05.2015 № 337/пр</t>
  </si>
  <si>
    <t>Автомобильные дороги</t>
  </si>
  <si>
    <t>ФЕР-27</t>
  </si>
  <si>
    <t>Пр/812-021.0-1</t>
  </si>
  <si>
    <t>Пр/774-021.0</t>
  </si>
  <si>
    <t>403-9032</t>
  </si>
  <si>
    <t>Столбы железобетонные</t>
  </si>
  <si>
    <t>ТССЦ Чувашская республика (редакция 2014), 403-9032, Приказ Минстроя России от 05.05.2015 № 337/пр</t>
  </si>
  <si>
    <t>101-0385</t>
  </si>
  <si>
    <t>Краски масляные и алкидные густотертые, цинковые МА-011-2</t>
  </si>
  <si>
    <t>т</t>
  </si>
  <si>
    <t>ТССЦ Чувашская республика (редакция 2014), 101-0385, Приказ Минстроя России от 05.05.2015 № 337/пр</t>
  </si>
  <si>
    <t>101-0485</t>
  </si>
  <si>
    <t>Краска ХВ-161 перхлорвиниловая фасадная марок А, Б</t>
  </si>
  <si>
    <t>ТССЦ Чувашская республика (редакция 2014), 101-0485, Приказ Минстроя России от 05.05.2015 № 337/пр</t>
  </si>
  <si>
    <t>101-0627</t>
  </si>
  <si>
    <t>Олифа комбинированная, марки К-2</t>
  </si>
  <si>
    <t>ТССЦ Чувашская республика (редакция 2014), 101-0627, Приказ Минстроя России от 05.05.2015 № 337/пр</t>
  </si>
  <si>
    <t>113-0021</t>
  </si>
  <si>
    <t>Грунтовка ГФ-021 красно-коричневая</t>
  </si>
  <si>
    <t>ТССЦ Чувашская республика (редакция 2014), 113-0021, Приказ Минстроя России от 05.05.2015 № 337/пр</t>
  </si>
  <si>
    <t>408-0011</t>
  </si>
  <si>
    <t>Щебень из природного камня для строительных работ марка 1000, фракция 20-40 мм</t>
  </si>
  <si>
    <t>ТССЦ Чувашская республика (редакция 2014), 408-0011, Приказ Минстроя России от 05.05.2015 № 337/пр</t>
  </si>
  <si>
    <t>101-0064</t>
  </si>
  <si>
    <t>Ацетилен растворенный технический марки Б</t>
  </si>
  <si>
    <t>ТССЦ Чувашская республика (редакция 2014), 101-0064, Приказ Минстроя России от 05.05.2015 № 337/пр</t>
  </si>
  <si>
    <t>101-0324</t>
  </si>
  <si>
    <t>Кислород технический газообразный</t>
  </si>
  <si>
    <t>ТССЦ Чувашская республика (редакция 2014), 101-0324, Приказ Минстроя России от 05.05.2015 № 337/пр</t>
  </si>
  <si>
    <t>101-1974</t>
  </si>
  <si>
    <t>Пигмент тертый</t>
  </si>
  <si>
    <t>кг</t>
  </si>
  <si>
    <t>ТССЦ Чувашская республика (редакция 2014), 101-1974, Приказ Минстроя России от 05.05.2015 № 337/пр</t>
  </si>
  <si>
    <t>6</t>
  </si>
  <si>
    <t>07-01-054-8</t>
  </si>
  <si>
    <t>Установка металлических оград по железобетонным столбам без цоколя из сетки высотой до 1,7 м</t>
  </si>
  <si>
    <t>ТЕР Чувашская республика (редакция 2014), 07-01-054-8, Приказ Минстроя России от 05.05.2015 № 337/пр</t>
  </si>
  <si>
    <t>6,1</t>
  </si>
  <si>
    <t>101-3880</t>
  </si>
  <si>
    <t>Сетка «Рабица» из проволоки диаметром 1,6 без покрытия, 45х45 мм</t>
  </si>
  <si>
    <t>м2</t>
  </si>
  <si>
    <t>ТССЦ Чувашская республика (редакция 2014), 101-3880, Приказ Минстроя России от 05.05.2015 № 337/пр</t>
  </si>
  <si>
    <t>Новый подраздел</t>
  </si>
  <si>
    <t>Ворота</t>
  </si>
  <si>
    <t>7</t>
  </si>
  <si>
    <t>Установка металлических столбов высотой до 4 м с погружением в бетонное основание</t>
  </si>
  <si>
    <t>7,1</t>
  </si>
  <si>
    <t>7,2</t>
  </si>
  <si>
    <t>8</t>
  </si>
  <si>
    <t>201-0778</t>
  </si>
  <si>
    <t>Прочие индивидуальные сварные конструкции, масса сборочной единицы до 0,1 т</t>
  </si>
  <si>
    <t>ТССЦ Чувашская республика (редакция 2014), 201-0778, Приказ Минстроя России от 05.05.2015 № 337/пр</t>
  </si>
  <si>
    <t>9</t>
  </si>
  <si>
    <t>401-0107</t>
  </si>
  <si>
    <t>Бетон дорожный, класс В20 (М250)</t>
  </si>
  <si>
    <t>ТССЦ Чувашская республика (редакция 2014), 401-0107, Приказ Минстроя России от 05.05.2015 № 337/пр</t>
  </si>
  <si>
    <t>10</t>
  </si>
  <si>
    <t>м38-01-003-4</t>
  </si>
  <si>
    <t>Решетчатые конструкции (стойки, опоры, фермы и пр.), сборка с помощью лебедок ручных (с установкой и снятием их в процессе работы) или вручную (мелких деталей)</t>
  </si>
  <si>
    <t>1 т конструкций</t>
  </si>
  <si>
    <t>ТЕРм Чувашская республика (редакция 2014), м38-01-003-4, Приказ Минстроя России от 05.05.2015 № 337/пр</t>
  </si>
  <si>
    <t>Монтажные работы</t>
  </si>
  <si>
    <t>Изготовление технологических металлических конструкций в условиях производственных баз</t>
  </si>
  <si>
    <t>ФЕРм-38</t>
  </si>
  <si>
    <t>Пр/812-080.0-1</t>
  </si>
  <si>
    <t>Пр/774-080.0</t>
  </si>
  <si>
    <t>10,1</t>
  </si>
  <si>
    <t>101-1026</t>
  </si>
  <si>
    <t>Швеллеры № 40 из стали марки Ст3сп</t>
  </si>
  <si>
    <t>ТССЦ Чувашская республика (редакция 2014), 101-1026, Приказ Минстроя России от 05.05.2015 № 337/пр</t>
  </si>
  <si>
    <t>11</t>
  </si>
  <si>
    <t>103-1558</t>
  </si>
  <si>
    <t>Трубы стальные квадратные из стали марки ст1-3сп/пс размером 20х20 мм, толщина стенки 2 мм</t>
  </si>
  <si>
    <t>ТССЦ Чувашская республика (редакция 2014), 103-1558, Приказ Минстроя России от 05.05.2015 № 337/пр</t>
  </si>
  <si>
    <t>12</t>
  </si>
  <si>
    <t>103-1945</t>
  </si>
  <si>
    <t>Трубы стальные прямоугольные из стали марки ст1-3сп/пс размером 60х40 мм, толщина стенки 2 мм</t>
  </si>
  <si>
    <t>ТССЦ Чувашская республика (редакция 2014), 103-1945, Приказ Минстроя России от 05.05.2015 № 337/пр</t>
  </si>
  <si>
    <t>13</t>
  </si>
  <si>
    <t>101-3687</t>
  </si>
  <si>
    <t>Швеллеры № 14 сталь марки Ст3пс</t>
  </si>
  <si>
    <t>ТССЦ Чувашская республика (редакция 2014), 101-3687, Приказ Минстроя России от 05.05.2015 № 337/пр</t>
  </si>
  <si>
    <t>14</t>
  </si>
  <si>
    <t>101-1738</t>
  </si>
  <si>
    <t>Профили холодногнутые из оцинкованной стали толщиной 0,6-0,65 мм, сумма размеров равная ширине исходной заготовки 101-150 мм</t>
  </si>
  <si>
    <t>ТССЦ Чувашская республика (редакция 2014), 101-1738, Приказ Минстроя России от 05.05.2015 № 337/пр</t>
  </si>
  <si>
    <t>15</t>
  </si>
  <si>
    <t>09-04-011-1</t>
  </si>
  <si>
    <t>Монтаж каркасов ворот большепролетных зданий, ангаров и др. без механизмов открывания</t>
  </si>
  <si>
    <t>ТЕР Чувашская республика (редакция 2014), 09-04-011-1, Приказ Минстроя России от 05.05.2015 № 337/пр</t>
  </si>
  <si>
    <t>15,1</t>
  </si>
  <si>
    <t>101-1714</t>
  </si>
  <si>
    <t>Болты с гайками и шайбами строительные</t>
  </si>
  <si>
    <t>ТССЦ Чувашская республика (редакция 2014), 101-1714, Приказ Минстроя России от 05.05.2015 № 337/пр</t>
  </si>
  <si>
    <t>15,2</t>
  </si>
  <si>
    <t>201-9002</t>
  </si>
  <si>
    <t>Конструкции стальные</t>
  </si>
  <si>
    <t>ТССЦ Чувашская республика (редакция 2014), 201-9002, Приказ Минстроя России от 05.05.2015 № 337/пр</t>
  </si>
  <si>
    <t>Калитка</t>
  </si>
  <si>
    <t>16</t>
  </si>
  <si>
    <t>07-01-055-9</t>
  </si>
  <si>
    <t>Устройство калиток без установки столбов при металлических оградах и оградах из панелей</t>
  </si>
  <si>
    <t>100 шт.</t>
  </si>
  <si>
    <t>ТЕР Чувашская республика (редакция 2014), 07-01-055-9, Приказ Минстроя России от 05.05.2015 № 337/пр</t>
  </si>
  <si>
    <t>16,1</t>
  </si>
  <si>
    <t>201-9110</t>
  </si>
  <si>
    <t>Полотна калиток</t>
  </si>
  <si>
    <t>ТССЦ Чувашская республика (редакция 2014), 201-9110, Приказ Минстроя России от 05.05.2015 № 337/пр</t>
  </si>
  <si>
    <t>17</t>
  </si>
  <si>
    <t>203-0587</t>
  </si>
  <si>
    <t>Полотна калиток решетчатые высотой до 2,0 м</t>
  </si>
  <si>
    <t>ТССЦ Чувашская республика (редакция 2014), 203-0587, Приказ Минстроя России от 05.05.2015 № 337/пр</t>
  </si>
  <si>
    <t>18</t>
  </si>
  <si>
    <t>Прочие индивидуальные сварные конструкции, масса сборочной единицы до 0,1 т (столбы)</t>
  </si>
  <si>
    <t>19</t>
  </si>
  <si>
    <t>509-3594</t>
  </si>
  <si>
    <t>Заглушка для короба 60х60 мм</t>
  </si>
  <si>
    <t>ТССЦ Чувашская республика (редакция 2014), 509-3594, Приказ Минстроя России от 05.05.2015 № 337/пр</t>
  </si>
  <si>
    <t>Материалы монтажные</t>
  </si>
  <si>
    <t>Материалы и конструкции ( монтажные )  по ценникам и каталогам</t>
  </si>
  <si>
    <t>ФССЦм</t>
  </si>
  <si>
    <t>20</t>
  </si>
  <si>
    <t>101-0956</t>
  </si>
  <si>
    <t>Петля накладная</t>
  </si>
  <si>
    <t>ТССЦ Чувашская республика (редакция 2014), 101-0956, Приказ Минстроя России от 05.05.2015 № 337/пр</t>
  </si>
  <si>
    <t>21</t>
  </si>
  <si>
    <t>101-2005</t>
  </si>
  <si>
    <t>Щеколды</t>
  </si>
  <si>
    <t>компл.</t>
  </si>
  <si>
    <t>ТССЦ Чувашская республика (редакция 2014), 101-2005, Приказ Минстроя России от 05.05.2015 № 337/пр</t>
  </si>
  <si>
    <t>Площадка под ТКО</t>
  </si>
  <si>
    <t>22</t>
  </si>
  <si>
    <t>01-02-057-1</t>
  </si>
  <si>
    <t>Разработка грунта вручную в траншеях глубиной до 2 м без креплений с откосами, группа грунтов 1</t>
  </si>
  <si>
    <t>100 м3 грунта</t>
  </si>
  <si>
    <t>ТЕР Чувашская республика (редакция 2014), 01-02-057-1, Приказ Минстроя России от 05.05.2015 № 337/пр</t>
  </si>
  <si>
    <t>Земляные работы, выполняемые: ручным способом</t>
  </si>
  <si>
    <t>Пр/812-001.2-1</t>
  </si>
  <si>
    <t>Пр/774-001.2</t>
  </si>
  <si>
    <t>23</t>
  </si>
  <si>
    <t>01-02-060-1</t>
  </si>
  <si>
    <t>Погрузка вручную неуплотненного грунта из штабелей и отвалов в транспортные средства, группа грунтов 1</t>
  </si>
  <si>
    <t>100 м3</t>
  </si>
  <si>
    <t>ТЕР Чувашская республика (редакция 2014), 01-02-060-1, Приказ Минстроя России от 05.05.2015 № 337/пр</t>
  </si>
  <si>
    <t>24</t>
  </si>
  <si>
    <t>т03-21-001-5</t>
  </si>
  <si>
    <t>Перевозка грузов I класса автомобилями-самосвалами грузоподъемностью 10 т работающих вне карьера на расстояние до 5 км</t>
  </si>
  <si>
    <t>1 Т ГРУЗА</t>
  </si>
  <si>
    <t>ТССЦпг Чувашская республика (редакция 2014), т03-21-001-5, Приказ Минстроя России от 05.05.2015 № 337/пр</t>
  </si>
  <si>
    <t>Автомобили бортовые</t>
  </si>
  <si>
    <t>Перевозка строительных грузов автомобильным транспортом</t>
  </si>
  <si>
    <t>ФССЦпр , изм. 7</t>
  </si>
  <si>
    <t>25</t>
  </si>
  <si>
    <t>27-04-001-2</t>
  </si>
  <si>
    <t>Устройство подстилающих и выравнивающих слоев оснований из песчано-гравийной смеси, дресвы</t>
  </si>
  <si>
    <t>100 м3 материала основания (в плотном теле)</t>
  </si>
  <si>
    <t>ТЕР Чувашская республика (редакция 2014), 27-04-001-2, Приказ Минстроя России от 05.05.2015 № 337/пр</t>
  </si>
  <si>
    <t>25,1</t>
  </si>
  <si>
    <t>408-0200</t>
  </si>
  <si>
    <t>Смесь песчано-гравийная природная</t>
  </si>
  <si>
    <t>ТССЦ Чувашская республика (редакция 2014), 408-0200, Приказ Минстроя России от 05.05.2015 № 337/пр</t>
  </si>
  <si>
    <t>26</t>
  </si>
  <si>
    <t>408-0205</t>
  </si>
  <si>
    <t>Смесь песчано-гравийная природная обогащенная с содержанием гравия 65-75 %</t>
  </si>
  <si>
    <t>ТССЦ Чувашская республика (редакция 2014), 408-0205, Приказ Минстроя России от 05.05.2015 № 337/пр</t>
  </si>
  <si>
    <t>27</t>
  </si>
  <si>
    <t>06-01-001-1</t>
  </si>
  <si>
    <t>Устройство бетонной подготовки</t>
  </si>
  <si>
    <t>100 м3 бетона, бутобетона и железобетона в деле</t>
  </si>
  <si>
    <t>ТЕР Чувашская республика (редакция 2014), 06-01-001-1, Приказ Минстроя России от 05.05.2015 № 337/пр</t>
  </si>
  <si>
    <t>Бетонные и железобетонные монолитные конструкции и работы в строительстве</t>
  </si>
  <si>
    <t>ФЕР-06</t>
  </si>
  <si>
    <t>Пр/812-006.0-1</t>
  </si>
  <si>
    <t>Пр/774-006.0</t>
  </si>
  <si>
    <t>27,1</t>
  </si>
  <si>
    <t>401-0061</t>
  </si>
  <si>
    <t>Бетон тяжелый, крупность заполнителя 20 мм, класс В3,5 (М50)</t>
  </si>
  <si>
    <t>ТССЦ Чувашская республика (редакция 2014), 401-0061, Приказ Минстроя России от 05.05.2015 № 337/пр</t>
  </si>
  <si>
    <t>28</t>
  </si>
  <si>
    <t>401-0067</t>
  </si>
  <si>
    <t>Бетон тяжелый, крупность заполнителя 20 мм, класс В20 (М250)</t>
  </si>
  <si>
    <t>ТССЦ Чувашская республика (редакция 2014), 401-0067, Приказ Минстроя России от 05.05.2015 № 337/пр</t>
  </si>
  <si>
    <t>06-01-015-10</t>
  </si>
  <si>
    <t>Армирование подстилающих слоев и набетонок</t>
  </si>
  <si>
    <t>1 Т</t>
  </si>
  <si>
    <t>ТЕР Чувашская республика (редакция 2014), 06-01-015-10, Приказ Минстроя России от 05.05.2015 № 337/пр</t>
  </si>
  <si>
    <t>29</t>
  </si>
  <si>
    <t>09-08-001-3</t>
  </si>
  <si>
    <t>Установка металлических столбов высотой до 4 м на подготовленный бетонный фундамент</t>
  </si>
  <si>
    <t>ТЕР Чувашская республика (редакция 2014), 09-08-001-3, Приказ Минстроя России от 05.05.2015 № 337/пр</t>
  </si>
  <si>
    <t>29,1</t>
  </si>
  <si>
    <t>101-9662</t>
  </si>
  <si>
    <t>Болты анкерные</t>
  </si>
  <si>
    <t>ТССЦ Чувашская республика (редакция 2014), 101-9662, Приказ Минстроя России от 05.05.2015 № 337/пр</t>
  </si>
  <si>
    <t>29,2</t>
  </si>
  <si>
    <t>30</t>
  </si>
  <si>
    <t>103-1569</t>
  </si>
  <si>
    <t>Трубы стальные квадратные из стали марки ст1-3сп/пс размером 60х60 мм, толщина стенки 3 мм</t>
  </si>
  <si>
    <t>ТССЦ Чувашская республика (редакция 2014), 103-1569, Приказ Минстроя России от 05.05.2015 № 337/пр</t>
  </si>
  <si>
    <t>31</t>
  </si>
  <si>
    <t>09-03-014-1</t>
  </si>
  <si>
    <t>Монтаж связей и распорок из одиночных и парных уголков, гнутосварных профилей для пролетов до 24 м при высоте здания до 25 м</t>
  </si>
  <si>
    <t>ТЕР Чувашская республика (редакция 2014), 09-03-014-1, Приказ Минстроя России от 05.05.2015 № 337/пр</t>
  </si>
  <si>
    <t>31,1</t>
  </si>
  <si>
    <t>32</t>
  </si>
  <si>
    <t>103-1485</t>
  </si>
  <si>
    <t>Трубы стальные квадратные (ГОСТ 8639-82) размером 40х40 мм, толщина стенки 3 мм</t>
  </si>
  <si>
    <t>м</t>
  </si>
  <si>
    <t>ТССЦ Чувашская республика (редакция 2014), 103-1485, Приказ Минстроя России от 05.05.2015 № 337/пр</t>
  </si>
  <si>
    <t>33</t>
  </si>
  <si>
    <t>09-04-006-2</t>
  </si>
  <si>
    <t>Монтаж ограждающих конструкций стен из профилированного листа при высоте здания до 30 м</t>
  </si>
  <si>
    <t>100 м2</t>
  </si>
  <si>
    <t>ТЕР Чувашская республика (редакция 2014), 09-04-006-2, Приказ Минстроя России от 05.05.2015 № 337/пр</t>
  </si>
  <si>
    <t>33,1</t>
  </si>
  <si>
    <t>101-9910</t>
  </si>
  <si>
    <t>Стальной гнутый профиль (профилированный настил)</t>
  </si>
  <si>
    <t>ТССЦ Чувашская республика (редакция 2014), 101-9910, Приказ Минстроя России от 05.05.2015 № 337/пр</t>
  </si>
  <si>
    <t>33,2</t>
  </si>
  <si>
    <t>101-9911</t>
  </si>
  <si>
    <t>Крепежные детали для крепления профилированного настила к несущим конструкциям</t>
  </si>
  <si>
    <t>ТССЦ Чувашская республика (редакция 2014), 101-9911, Приказ Минстроя России от 05.05.2015 № 337/пр</t>
  </si>
  <si>
    <t>33,3</t>
  </si>
  <si>
    <t>201-9360</t>
  </si>
  <si>
    <t>Конструкции стальные нащельников и деталей обрамления</t>
  </si>
  <si>
    <t>ТССЦ Чувашская республика (редакция 2014), 201-9360, Приказ Минстроя России от 05.05.2015 № 337/пр</t>
  </si>
  <si>
    <t>34</t>
  </si>
  <si>
    <t>101-4564</t>
  </si>
  <si>
    <t>Профнастил оцинкованный с покрытием полиэстер C10-1100-0,5</t>
  </si>
  <si>
    <t>ТССЦ Чувашская республика (редакция 2014), 101-4564, Приказ Минстроя России от 05.05.2015 № 337/пр</t>
  </si>
  <si>
    <t>35</t>
  </si>
  <si>
    <t>101-1810</t>
  </si>
  <si>
    <t>Винты самонарезающие для крепления профилированного настила и панелей к несущим конструкциям</t>
  </si>
  <si>
    <t>ТССЦ Чувашская республика (редакция 2014), 101-1810, Приказ Минстроя России от 05.05.2015 № 337/пр</t>
  </si>
  <si>
    <t>13-03-002-4</t>
  </si>
  <si>
    <t>Огрунтовка металлических поверхностей за один раз грунтовкой ГФ-021</t>
  </si>
  <si>
    <t>100 м2 окрашиваемой поверхности</t>
  </si>
  <si>
    <t>ТЕР Чувашская республика (редакция 2014), 13-03-002-4, Приказ Минстроя России от 05.05.2015 № 337/пр</t>
  </si>
  <si>
    <t>Защита строительных конструкций и оборудования от коррозии</t>
  </si>
  <si>
    <t>Защита строительных конструкций</t>
  </si>
  <si>
    <t>ФЕР-13</t>
  </si>
  <si>
    <t>Пр/812-013.0-1</t>
  </si>
  <si>
    <t>Пр/774-013.0</t>
  </si>
  <si>
    <t>36</t>
  </si>
  <si>
    <t>301-7567</t>
  </si>
  <si>
    <t>Контейнер мусоросборный К-1 для мусоропровода</t>
  </si>
  <si>
    <t>ТССЦ Чувашская республика (редакция 2014), 301-7567, Приказ Минстроя России от 05.05.2015 № 337/пр</t>
  </si>
  <si>
    <t>Площадка для прощания</t>
  </si>
  <si>
    <t>37</t>
  </si>
  <si>
    <t>37,1</t>
  </si>
  <si>
    <t>38</t>
  </si>
  <si>
    <t>401-0066</t>
  </si>
  <si>
    <t>Бетон тяжелый, крупность заполнителя 20 мм, класс В15 (М200)</t>
  </si>
  <si>
    <t>ТССЦ Чувашская республика (редакция 2014), 401-0066, Приказ Минстроя России от 05.05.2015 № 337/пр</t>
  </si>
  <si>
    <t>39</t>
  </si>
  <si>
    <t>06-01-001-5</t>
  </si>
  <si>
    <t>Устройство железобетонных фундаментов общего назначения под колонны объемом до 3 м3</t>
  </si>
  <si>
    <t>ТЕР Чувашская республика (редакция 2014), 06-01-001-5, Приказ Минстроя России от 05.05.2015 № 337/пр</t>
  </si>
  <si>
    <t>08-02-010-19</t>
  </si>
  <si>
    <t>Кладка наружных стен из лицевого кирпича толщиной 250 мм при высоте этажа до 4 м</t>
  </si>
  <si>
    <t>1 м3 кладки</t>
  </si>
  <si>
    <t>ТЕР Чувашская республика (редакция 2014), 08-02-010-19, Приказ Минстроя России от 05.05.2015 № 337/пр</t>
  </si>
  <si>
    <t>Конструкции из кирпича и блоков</t>
  </si>
  <si>
    <t>ФЕР-08</t>
  </si>
  <si>
    <t>Пр/812-008.0-1</t>
  </si>
  <si>
    <t>Пр/774-008.0</t>
  </si>
  <si>
    <t>40</t>
  </si>
  <si>
    <t>11-01-015-7</t>
  </si>
  <si>
    <t>Шлифовка бетонных или металлоцементных покрытий (постамент)</t>
  </si>
  <si>
    <t>100 м2 покрытия</t>
  </si>
  <si>
    <t>ТЕР Чувашская республика (редакция 2014), 11-01-015-7, Приказ Минстроя России от 05.05.2015 № 337/пр</t>
  </si>
  <si>
    <t>Полы</t>
  </si>
  <si>
    <t>ФЕР-11</t>
  </si>
  <si>
    <t>Пр/812-011.0-1</t>
  </si>
  <si>
    <t>Пр/774-011.0</t>
  </si>
  <si>
    <t>41</t>
  </si>
  <si>
    <t>15-07-003-2</t>
  </si>
  <si>
    <t>Грунтование водно-дисперсионной грунтовкой "Нортекс-Грунт" поверхностей пористых (камень, кирпич, бетон и т д)</t>
  </si>
  <si>
    <t>100 м2 обрабатываемой поверхности</t>
  </si>
  <si>
    <t>ТЕР Чувашская республика (редакция 2014), 15-07-003-2, Приказ Минстроя России от 05.05.2015 № 337/пр</t>
  </si>
  <si>
    <t>Отделочные работы</t>
  </si>
  <si>
    <t>ФЕР-15</t>
  </si>
  <si>
    <t>Пр/812-015.0-1</t>
  </si>
  <si>
    <t>Пр/774-015.0</t>
  </si>
  <si>
    <t>42</t>
  </si>
  <si>
    <t>15-04-007-3</t>
  </si>
  <si>
    <t>Окраска водно-дисперсионными акриловыми составами улучшенная по сборным конструкциям стен, подготовленным под окраску</t>
  </si>
  <si>
    <t>ТЕР Чувашская республика (редакция 2014), 15-04-007-3, Приказ Минстроя России от 05.05.2015 № 337/пр</t>
  </si>
  <si>
    <t>43</t>
  </si>
  <si>
    <t>43,1</t>
  </si>
  <si>
    <t>43,2</t>
  </si>
  <si>
    <t>44</t>
  </si>
  <si>
    <t>103-2491</t>
  </si>
  <si>
    <t>Трубы стальные электросварные прямошовные (ГОСТ 10704-91), наружный диаметр 108 мм, толщина стенки 4,0 мм</t>
  </si>
  <si>
    <t>ТССЦ Чувашская республика (редакция 2014), 103-2491, Приказ Минстроя России от 05.05.2015 № 337/пр</t>
  </si>
  <si>
    <t>45</t>
  </si>
  <si>
    <t>46</t>
  </si>
  <si>
    <t>09-03-015-1</t>
  </si>
  <si>
    <t>Монтаж прогонов при шаге ферм до 12 м при высоте здания до 25 м</t>
  </si>
  <si>
    <t>ТЕР Чувашская республика (редакция 2014), 09-03-015-1, Приказ Минстроя России от 05.05.2015 № 337/пр</t>
  </si>
  <si>
    <t>46,1</t>
  </si>
  <si>
    <t>47</t>
  </si>
  <si>
    <t>101-3686</t>
  </si>
  <si>
    <t>Швеллеры № 12 сталь марки Ст3пс</t>
  </si>
  <si>
    <t>ТССЦ Чувашская республика (редакция 2014), 101-3686, Приказ Минстроя России от 05.05.2015 № 337/пр</t>
  </si>
  <si>
    <t>48</t>
  </si>
  <si>
    <t>09-04-002-1</t>
  </si>
  <si>
    <t>Монтаж кровельного покрытия из профилированного листа при высоте здания до 25 м</t>
  </si>
  <si>
    <t>ТЕР Чувашская республика (редакция 2014), 09-04-002-1, Приказ Минстроя России от 05.05.2015 № 337/пр</t>
  </si>
  <si>
    <t>48,1</t>
  </si>
  <si>
    <t>48,2</t>
  </si>
  <si>
    <t>49</t>
  </si>
  <si>
    <t>101-4652</t>
  </si>
  <si>
    <t>Шурупы-саморезы кровельные оцинкованные 5,5х38 мм</t>
  </si>
  <si>
    <t>10 шт.</t>
  </si>
  <si>
    <t>ТССЦ Чувашская республика (редакция 2014), 101-4652, Приказ Минстроя России от 05.05.2015 № 337/пр</t>
  </si>
  <si>
    <t>50</t>
  </si>
  <si>
    <t>101-5213</t>
  </si>
  <si>
    <t>Профилированный настил оцинкованный С8-1150-0,55</t>
  </si>
  <si>
    <t>ТССЦ Чувашская республика (редакция 2014), 101-5213, Приказ Минстроя России от 05.05.2015 № 337/пр</t>
  </si>
  <si>
    <t>51</t>
  </si>
  <si>
    <t>09-05-003-1</t>
  </si>
  <si>
    <t>Постановка болтов строительных с гайками и шайбами</t>
  </si>
  <si>
    <t>100 шт. болтов</t>
  </si>
  <si>
    <t>ТЕР Чувашская республика (редакция 2014), 09-05-003-1, Приказ Минстроя России от 05.05.2015 № 337/пр</t>
  </si>
  <si>
    <t>51,1</t>
  </si>
  <si>
    <t>52</t>
  </si>
  <si>
    <t>116-0503</t>
  </si>
  <si>
    <t>Скамья парковая, размеры 2000х1030х800 мм</t>
  </si>
  <si>
    <t>ТССЦ Чувашская республика (редакция 2014), 116-0503, Приказ Минстроя России от 05.05.2015 № 337/пр</t>
  </si>
  <si>
    <t>Помещение</t>
  </si>
  <si>
    <t>53</t>
  </si>
  <si>
    <t>Прайс</t>
  </si>
  <si>
    <t>Помещение 4х4 м</t>
  </si>
  <si>
    <t>ШТ</t>
  </si>
  <si>
    <t>Материалы, изделия и конструкции</t>
  </si>
  <si>
    <t>материалы (03)</t>
  </si>
  <si>
    <t>занесена вручную</t>
  </si>
  <si>
    <t>Заезд</t>
  </si>
  <si>
    <t>54</t>
  </si>
  <si>
    <t>01-01-014-5</t>
  </si>
  <si>
    <t>Разработка грунта с погрузкой на автомобили-самосвалы экскаваторами с ковшом вместимостью 0,25 м3, группа грунтов 2</t>
  </si>
  <si>
    <t>1000 м3 грунта</t>
  </si>
  <si>
    <t>ТЕР Чувашская республика (редакция 2014), 01-01-014-5, Приказ Минстроя России от 05.05.2015 № 337/пр</t>
  </si>
  <si>
    <t>Земляные работы, выполняемые: механизированным способом</t>
  </si>
  <si>
    <t>Пр/812-001.1-1</t>
  </si>
  <si>
    <t>Пр/774-001.1</t>
  </si>
  <si>
    <t>55</t>
  </si>
  <si>
    <t>27-04-001-1</t>
  </si>
  <si>
    <t>Устройство подстилающих и выравнивающих слоев оснований из песка</t>
  </si>
  <si>
    <t>ТЕР Чувашская республика (редакция 2014), 27-04-001-1, Приказ Минстроя России от 05.05.2015 № 337/пр</t>
  </si>
  <si>
    <t>55,1</t>
  </si>
  <si>
    <t>408-9040</t>
  </si>
  <si>
    <t>Песок для строительных работ природный</t>
  </si>
  <si>
    <t>ТССЦ Чувашская республика (редакция 2014), 408-9040, Приказ Минстроя России от 05.05.2015 № 337/пр</t>
  </si>
  <si>
    <t>56</t>
  </si>
  <si>
    <t>408-0124</t>
  </si>
  <si>
    <t>Песок природный для строительных работ мелкий</t>
  </si>
  <si>
    <t>ТССЦ Чувашская республика (редакция 2014), 408-0124, Приказ Минстроя России от 05.05.2015 № 337/пр</t>
  </si>
  <si>
    <t>57</t>
  </si>
  <si>
    <t>27-04-006-1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</si>
  <si>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</t>
  </si>
  <si>
    <t>1000 м2 основания</t>
  </si>
  <si>
    <t>ТЕР Чувашская республика (редакция 2014), 27-04-006-1, Приказ Минстроя России от 05.05.2015 № 337/пр</t>
  </si>
  <si>
    <t>58</t>
  </si>
  <si>
    <t>27-06-026-1</t>
  </si>
  <si>
    <t>Розлив вяжущих материалов</t>
  </si>
  <si>
    <t>ТЕР Чувашская республика (редакция 2014), 27-06-026-1, Приказ Минстроя России от 05.05.2015 № 337/пр</t>
  </si>
  <si>
    <t>59</t>
  </si>
  <si>
    <t>27-06-041-1</t>
  </si>
  <si>
    <t>Устройство верхнего слоя основания или нижнего слоя покрытия из асфальтогранулобетонной смеси типа Э с применением асфальтоукладчика «TITAN-325» на толщину 10 см</t>
  </si>
  <si>
    <t>1000 м2</t>
  </si>
  <si>
    <t>ТЕР Чувашская республика (редакция 2014), 27-06-041-1, Приказ Минстроя России от 05.05.2015 № 337/пр</t>
  </si>
  <si>
    <t>60</t>
  </si>
  <si>
    <t>410-0111</t>
  </si>
  <si>
    <t>Лом асфальтобетона</t>
  </si>
  <si>
    <t>ТССЦ Чувашская республика (редакция 2014), 410-0111, Приказ Минстроя России от 05.05.2015 № 337/пр</t>
  </si>
  <si>
    <t>27-06-041-2</t>
  </si>
  <si>
    <t>Устройство верхнего слоя основания или нижнего слоя покрытия из асфальтогранулобетонной смеси типа Э с применением асфальтоукладчика «TITAN-325» на каждый сантиметр изменения толщины покрытия добавлять или исключать к расценке 27-06-041-01</t>
  </si>
  <si>
    <t>ТЕР Чувашская республика (редакция 2014), 27-06-041-2, Приказ Минстроя России от 05.05.2015 № 337/пр</t>
  </si>
  <si>
    <t>27-06-029-1</t>
  </si>
  <si>
    <t>Устройство покрытия толщиной 4 см из горячих асфальтобетонных смесей плотных мелкозернистых типа А,Б,В, плотность каменных материалов 2,5-2,9 т/м3</t>
  </si>
  <si>
    <t>1000 м2 покрытия</t>
  </si>
  <si>
    <t>ТЕР Чувашская республика (редакция 2014), 27-06-029-1, Приказ Минстроя России от 05.05.2015 № 337/пр</t>
  </si>
  <si>
    <t>61</t>
  </si>
  <si>
    <t>01-01-047-2</t>
  </si>
  <si>
    <t>Устройство сливной призмы и кюветов в выемках, группа грунтов 2</t>
  </si>
  <si>
    <t>ТЕР Чувашская республика (редакция 2014), 01-01-047-2, Приказ Минстроя России от 05.05.2015 № 337/пр</t>
  </si>
  <si>
    <t>Туалет</t>
  </si>
  <si>
    <t>62</t>
  </si>
  <si>
    <t>01-01-004-5</t>
  </si>
  <si>
    <t>Разработка грунта в отвал экскаваторами «драглайн» или «обратная лопата» с ковшом вместимостью 0,25 м3, группа грунтов 2</t>
  </si>
  <si>
    <t>ТЕР Чувашская республика (редакция 2014), 01-01-004-5, Приказ Минстроя России от 05.05.2015 № 337/пр</t>
  </si>
  <si>
    <t>63</t>
  </si>
  <si>
    <t>23-01-001-1</t>
  </si>
  <si>
    <t>Устройство основания под трубопроводы песчаного</t>
  </si>
  <si>
    <t>10 м3 основания</t>
  </si>
  <si>
    <t>ТЕР Чувашская республика (редакция 2014), 23-01-001-1, Приказ Минстроя России от 05.05.2015 № 337/пр</t>
  </si>
  <si>
    <t>Наружные сети водопровода, канализации, теплоснабжения, газопроводы</t>
  </si>
  <si>
    <t>ФЕР-23</t>
  </si>
  <si>
    <t>Пр/812-018.0-1</t>
  </si>
  <si>
    <t>Пр/774-018.0</t>
  </si>
  <si>
    <t>63,1</t>
  </si>
  <si>
    <t>408-0122</t>
  </si>
  <si>
    <t>Песок природный для строительных работ средний</t>
  </si>
  <si>
    <t>ТССЦ Чувашская республика (редакция 2014), 408-0122, Приказ Минстроя России от 05.05.2015 № 337/пр</t>
  </si>
  <si>
    <t>64</t>
  </si>
  <si>
    <t>65</t>
  </si>
  <si>
    <t>23-03-001-5</t>
  </si>
  <si>
    <t>Устройство круглых сборных железобетонных канализационных колодцев диаметром 1,5 м в сухих грунтах</t>
  </si>
  <si>
    <t>10 м3 железобетонных и бетонных конструкций колодца</t>
  </si>
  <si>
    <t>ТЕР Чувашская республика (редакция 2014), 23-03-001-5, Приказ Минстроя России от 05.05.2015 № 337/пр</t>
  </si>
  <si>
    <t>65,1</t>
  </si>
  <si>
    <t>101-9058</t>
  </si>
  <si>
    <t>Люки чугунные</t>
  </si>
  <si>
    <t>ТССЦ Чувашская республика (редакция 2014), 101-9058, Приказ Минстроя России от 05.05.2015 № 337/пр</t>
  </si>
  <si>
    <t>65,2</t>
  </si>
  <si>
    <t>201-0650</t>
  </si>
  <si>
    <t>Ограждения лестничных проемов, лестничные марши, пожарные лестницы</t>
  </si>
  <si>
    <t>ТССЦ Чувашская республика (редакция 2014), 201-0650, Приказ Минстроя России от 05.05.2015 № 337/пр</t>
  </si>
  <si>
    <t>66</t>
  </si>
  <si>
    <t>403-8272</t>
  </si>
  <si>
    <t>Кольцо стеновое смотровых колодцев КС10.9 /бетон В15 (М200), объем 0,24 м3, расход арматуры 5,66 кг/ (серия 3.900.1-14)</t>
  </si>
  <si>
    <t>ТССЦ Чувашская республика (редакция 2014), 403-8272, Приказ Минстроя России от 05.05.2015 № 337/пр</t>
  </si>
  <si>
    <t>67</t>
  </si>
  <si>
    <t>403-8241</t>
  </si>
  <si>
    <t>Плита днища ПН10 /бетон В15 (М200), объем 0,18 м3, расход ар-ры 15,14 кг / (серия 3.900.1-14)</t>
  </si>
  <si>
    <t>ТССЦ Чувашская республика (редакция 2014), 403-8241, Приказ Минстроя России от 05.05.2015 № 337/пр</t>
  </si>
  <si>
    <t>68</t>
  </si>
  <si>
    <t>10-01-010-1</t>
  </si>
  <si>
    <t>Установка элементов каркаса из брусьев</t>
  </si>
  <si>
    <t>1 м3 древесины в конструкции</t>
  </si>
  <si>
    <t>ТЕР Чувашская республика (редакция 2014), 10-01-010-1, Приказ Минстроя России от 05.05.2015 № 337/пр</t>
  </si>
  <si>
    <t>Деревянные конструкции</t>
  </si>
  <si>
    <t>ФЕР-10</t>
  </si>
  <si>
    <t>Пр/812-010.0-1</t>
  </si>
  <si>
    <t>Пр/774-010.0</t>
  </si>
  <si>
    <t>69</t>
  </si>
  <si>
    <t>10-01-012-1</t>
  </si>
  <si>
    <t>Обшивка каркасных стен досками обшивки</t>
  </si>
  <si>
    <t>100 м2 обшивки стен (за вычетом проемов)</t>
  </si>
  <si>
    <t>ТЕР Чувашская республика (редакция 2014), 10-01-012-1, Приказ Минстроя России от 05.05.2015 № 337/пр</t>
  </si>
  <si>
    <t>70</t>
  </si>
  <si>
    <t>12-01-007-8</t>
  </si>
  <si>
    <t>Устройство кровель из оцинкованной стали без настенных желобов</t>
  </si>
  <si>
    <t>100 М2 КРОВЛИ</t>
  </si>
  <si>
    <t>ТЕР Чувашская республика (редакция 2014), 12-01-007-8, Приказ Минстроя России от 05.05.2015 № 337/пр</t>
  </si>
  <si>
    <t>Кровли</t>
  </si>
  <si>
    <t>ФЕР-12</t>
  </si>
  <si>
    <t>Пр/812-012.0-1</t>
  </si>
  <si>
    <t>Пр/774-012.0</t>
  </si>
  <si>
    <t>71</t>
  </si>
  <si>
    <t>10-01-029-1</t>
  </si>
  <si>
    <t>Установка приборов фрамужных</t>
  </si>
  <si>
    <t>100 компл.</t>
  </si>
  <si>
    <t>ТЕР Чувашская республика (редакция 2014), 10-01-029-1, Приказ Минстроя России от 05.05.2015 № 337/пр</t>
  </si>
  <si>
    <t>56-12-1</t>
  </si>
  <si>
    <t>Смена дверных приборов петли</t>
  </si>
  <si>
    <t>100 ШТ. ПРИБОРОВ</t>
  </si>
  <si>
    <t>ТЕРр Чувашская республика (редакция 2014), 56-12-1, Приказ Минстроя России от 05.05.2015 № 337/пр</t>
  </si>
  <si>
    <t>Ремонтно-строительные работы</t>
  </si>
  <si>
    <t>Проемы</t>
  </si>
  <si>
    <t>рФЕР-56</t>
  </si>
  <si>
    <t>Пр/812-090.0-1</t>
  </si>
  <si>
    <t>Пр/774-090.0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</si>
  <si>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</si>
  <si>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</si>
  <si>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</si>
  <si>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</si>
  <si>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</si>
  <si>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</si>
  <si>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</si>
  <si>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</si>
  <si>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</si>
  <si>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</si>
  <si>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</si>
  <si>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</si>
  <si>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</si>
  <si>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</si>
  <si>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</si>
  <si>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</si>
  <si>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</si>
  <si>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</si>
  <si>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</si>
  <si>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</si>
  <si>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</si>
  <si>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</si>
  <si>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</si>
  <si>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</si>
  <si>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</si>
  <si>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</si>
  <si>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</si>
  <si>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АЭС, ПНР технологического оборудования АЭС.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</si>
  <si>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</si>
  <si>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ВОЛОКОННО-ОПТИЧЕСКИХ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</si>
  <si>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</si>
  <si>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</si>
  <si>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</si>
  <si>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ДИСПЕТЧЕРИЗАЦИИ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</si>
  <si>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</si>
  <si>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авиатранспорта</t>
  </si>
  <si>
    <t>ЗАКР</t>
  </si>
  <si>
    <t>{вкл}   -  Обслуживающие и сопутствующие работы в тоннелях при  производстве работ ЗАКРЫТЫМ СПОСОБОМ   {выкл} - Обслуживающие и сопутствующие работы в тоннелях при  производстве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</si>
  <si>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</si>
  <si>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</si>
  <si>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</si>
  <si>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</si>
  <si>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</si>
  <si>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</si>
  <si>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</si>
  <si>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</si>
  <si>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</si>
  <si>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</si>
  <si>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</si>
  <si>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</si>
  <si>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</si>
  <si>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</si>
  <si>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</si>
  <si>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</si>
  <si>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</si>
  <si>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</si>
  <si>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</si>
  <si>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</si>
  <si>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</si>
  <si>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</si>
  <si>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</si>
  <si>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</si>
  <si>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</si>
  <si>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</si>
  <si>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</si>
  <si>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</si>
  <si>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ТСН Чувашской республики (редакция 2014 г)</t>
  </si>
  <si>
    <t>_OBSM_</t>
  </si>
  <si>
    <t>1-1038-21</t>
  </si>
  <si>
    <t>Рабочий строитель среднего разряда 3,8</t>
  </si>
  <si>
    <t>чел.-ч</t>
  </si>
  <si>
    <t>331601</t>
  </si>
  <si>
    <t>ТСЭМ Чувашская республика (редакция 2014), 331601, Приказ Минстроя России от 05.05.2015 № 337/пр</t>
  </si>
  <si>
    <t>Пила с карбюраторным двигателем</t>
  </si>
  <si>
    <t>маш.-ч</t>
  </si>
  <si>
    <t>1-1020-21</t>
  </si>
  <si>
    <t>Рабочий строитель среднего разряда 2</t>
  </si>
  <si>
    <t>1-1030-21</t>
  </si>
  <si>
    <t>Рабочий строитель среднего разряда 3</t>
  </si>
  <si>
    <t>Затраты труда машинистов</t>
  </si>
  <si>
    <t>чел.час</t>
  </si>
  <si>
    <t>110054</t>
  </si>
  <si>
    <t>ТСЭМ Чувашская республика (редакция 2014), 110054, Приказ Минстроя России от 05.05.2015 № 337/пр</t>
  </si>
  <si>
    <t>Автобетоносмесители 5 м3</t>
  </si>
  <si>
    <t>160402</t>
  </si>
  <si>
    <t>ТСЭМ Чувашская республика (редакция 2014), 160402, Приказ Минстроя России от 05.05.2015 № 337/пр</t>
  </si>
  <si>
    <t>Машины бурильно-крановые на автомобиле, глубина бурения 3,5 м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</si>
  <si>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</si>
  <si>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</si>
  <si>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</si>
  <si>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201-0832</t>
  </si>
  <si>
    <t>ТССЦ Чувашская республика (редакция 2014), 201-0832, Приказ Минстроя России от 05.05.2015 № 337/пр</t>
  </si>
  <si>
    <t>Бруски деревянные 50*50 мм</t>
  </si>
  <si>
    <t>1-1037-21</t>
  </si>
  <si>
    <t>Рабочий строитель среднего разряда 3,7</t>
  </si>
  <si>
    <t>021141</t>
  </si>
  <si>
    <t>ТСЭМ Чувашская республика (редакция 2014), 021141, Приказ Минстроя России от 05.05.2015 № 337/пр</t>
  </si>
  <si>
    <t>Краны на автомобильном ходу при работе на других видах строительства 10 т</t>
  </si>
  <si>
    <t>040201</t>
  </si>
  <si>
    <t>ТСЭМ Чувашская республика (редакция 2014), 040201, Приказ Минстроя России от 05.05.2015 № 337/пр</t>
  </si>
  <si>
    <t>Агрегаты сварочные передвижные с номинальным сварочным током 250-400 А с бензиновым двигателем</t>
  </si>
  <si>
    <t>091500</t>
  </si>
  <si>
    <t>ТСЭМ Чувашская республика (редакция 2014), 091500, Приказ Минстроя России от 05.05.2015 № 337/пр</t>
  </si>
  <si>
    <t>Ямокопатели</t>
  </si>
  <si>
    <t>101-0816</t>
  </si>
  <si>
    <t>ТССЦ Чувашская республика (редакция 2014), 101-0816, Приказ Минстроя России от 05.05.2015 № 337/пр</t>
  </si>
  <si>
    <t>Проволока светлая диаметром 1,1 мм</t>
  </si>
  <si>
    <t>101-0873</t>
  </si>
  <si>
    <t>ТССЦ Чувашская республика (редакция 2014), 101-0873, Приказ Минстроя России от 05.05.2015 № 337/пр</t>
  </si>
  <si>
    <t>Сетка плетеная с квадратными ячейками № 12 оцинкованная</t>
  </si>
  <si>
    <t>101-1529</t>
  </si>
  <si>
    <t>ТССЦ Чувашская республика (редакция 2014), 101-1529, Приказ Минстроя России от 05.05.2015 № 337/пр</t>
  </si>
  <si>
    <t>Электроды диаметром 6 мм Э42</t>
  </si>
  <si>
    <t>201-0777</t>
  </si>
  <si>
    <t>ТССЦ Чувашская республика (редакция 2014), 201-0777, Приказ Минстроя России от 05.05.2015 № 337/пр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</si>
  <si>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t>
  </si>
  <si>
    <t>204-0005</t>
  </si>
  <si>
    <t>ТССЦ Чувашская республика (редакция 2014), 204-0005, Приказ Минстроя России от 05.05.2015 № 337/пр</t>
  </si>
  <si>
    <t>Горячекатаная арматурная сталь гладкая класса А-I, диаметром 14 мм</t>
  </si>
  <si>
    <t>401-0083</t>
  </si>
  <si>
    <t>ТССЦ Чувашская республика (редакция 2014), 401-0083, Приказ Минстроя России от 05.05.2015 № 337/пр</t>
  </si>
  <si>
    <t>Бетон тяжелый, крупность заполнителя 10 мм, класс В7,5 (М100)</t>
  </si>
  <si>
    <t>402-0002</t>
  </si>
  <si>
    <t>ТССЦ Чувашская республика (редакция 2014), 402-0002, Приказ Минстроя России от 05.05.2015 № 337/пр</t>
  </si>
  <si>
    <t>Раствор готовый кладочный цементный марки 50</t>
  </si>
  <si>
    <t>404-0005</t>
  </si>
  <si>
    <t>ТССЦ Чувашская республика (редакция 2014), 404-0005, Приказ Минстроя России от 05.05.2015 № 337/пр</t>
  </si>
  <si>
    <t>Кирпич керамический одинарный, размером 250х120х65 мм, марка 100</t>
  </si>
  <si>
    <t>1000 шт.</t>
  </si>
  <si>
    <t>1-1022-21</t>
  </si>
  <si>
    <t>Рабочий строитель среднего разряда 2,2</t>
  </si>
  <si>
    <t>050101</t>
  </si>
  <si>
    <t>ТСЭМ Чувашская республика (редакция 2014), 050101, Приказ Минстроя России от 05.05.2015 № 337/пр</t>
  </si>
  <si>
    <t>Компрессоры передвижные с двигателем внутреннего сгорания давлением до 686 кПа (7 ат), производительность  до 5 м3/мин</t>
  </si>
  <si>
    <t>060247</t>
  </si>
  <si>
    <t>ТСЭМ Чувашская республика (редакция 2014), 060247, Приказ Минстроя России от 05.05.2015 № 337/пр</t>
  </si>
  <si>
    <t>Экскаваторы одноковшовые дизельные на гусеничном ходу при работе на других видах строительства 0,5 м3</t>
  </si>
  <si>
    <t>070148</t>
  </si>
  <si>
    <t>ТСЭМ Чувашская республика (редакция 2014), 070148, Приказ Минстроя России от 05.05.2015 № 337/пр</t>
  </si>
  <si>
    <t>Бульдозеры при работе на других видах строительства 59 кВт (80 л.с.)</t>
  </si>
  <si>
    <t>330804</t>
  </si>
  <si>
    <t>ТСЭМ Чувашская республика (редакция 2014), 330804, Приказ Минстроя России от 05.05.2015 № 337/пр</t>
  </si>
  <si>
    <t>Молотки при работе от передвижных компрессорных станций отбойные пневматические</t>
  </si>
  <si>
    <t>060250</t>
  </si>
  <si>
    <t>ТСЭМ Чувашская республика (редакция 2014), 060250, Приказ Минстроя России от 05.05.2015 № 337/пр</t>
  </si>
  <si>
    <t>Экскаваторы одноковшовые дизельные на гусеничном ходу при работе на других видах строительства 1,25 м3</t>
  </si>
  <si>
    <t>1-1032-21</t>
  </si>
  <si>
    <t>Рабочий строитель среднего разряда 3,2</t>
  </si>
  <si>
    <t>030101</t>
  </si>
  <si>
    <t>ТСЭМ Чувашская республика (редакция 2014), 030101, Приказ Минстроя России от 05.05.2015 № 337/пр</t>
  </si>
  <si>
    <t>Автопогрузчики 5 т</t>
  </si>
  <si>
    <t>040504</t>
  </si>
  <si>
    <t>ТСЭМ Чувашская республика (редакция 2014), 040504, Приказ Минстроя России от 05.05.2015 № 337/пр</t>
  </si>
  <si>
    <t>Аппарат для газовой сварки и резки</t>
  </si>
  <si>
    <t>101-0813</t>
  </si>
  <si>
    <t>ТССЦ Чувашская республика (редакция 2014), 101-0813, Приказ Минстроя России от 05.05.2015 № 337/пр</t>
  </si>
  <si>
    <t>Проволока стальная низкоуглеродистая разного назначения оцинкованная диаметром 3,0 мм</t>
  </si>
  <si>
    <t>101-1587</t>
  </si>
  <si>
    <t>ТССЦ Чувашская республика (редакция 2014), 101-1587, Приказ Минстроя России от 05.05.2015 № 337/пр</t>
  </si>
  <si>
    <t>Сетка из оцинкованной проволоки диаметром 2 мм крученая</t>
  </si>
  <si>
    <t>1-2040-21</t>
  </si>
  <si>
    <t>Рабочий монтажник среднего разряда 4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</si>
  <si>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</si>
  <si>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</si>
  <si>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</si>
  <si>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030404</t>
  </si>
  <si>
    <t>ТСЭМ Чувашская республика (редакция 2014), 030404, Приказ Минстроя России от 05.05.2015 № 337/пр</t>
  </si>
  <si>
    <t>Лебедки электрические тяговым усилием до 31,39 кН (3,2 т)</t>
  </si>
  <si>
    <t>040502</t>
  </si>
  <si>
    <t>ТСЭМ Чувашская республика (редакция 2014), 040502, Приказ Минстроя России от 05.05.2015 № 337/пр</t>
  </si>
  <si>
    <t>Установки для сварки ручной дуговой (постоянного тока)</t>
  </si>
  <si>
    <t>330206</t>
  </si>
  <si>
    <t>ТСЭМ Чувашская республика (редакция 2014), 330206, Приказ Минстроя России от 05.05.2015 № 337/пр</t>
  </si>
  <si>
    <t>Дрели электрические</t>
  </si>
  <si>
    <t>330301</t>
  </si>
  <si>
    <t>ТСЭМ Чувашская республика (редакция 2014), 330301, Приказ Минстроя России от 05.05.2015 № 337/пр</t>
  </si>
  <si>
    <t>Машины шлифовальные электрические</t>
  </si>
  <si>
    <t>350481</t>
  </si>
  <si>
    <t>ТСЭМ Чувашская республика (редакция 2014), 350481, Приказ Минстроя России от 05.05.2015 № 337/пр</t>
  </si>
  <si>
    <t>Пресс-ножницы комбинированные</t>
  </si>
  <si>
    <t>400002</t>
  </si>
  <si>
    <t>ТСЭМ Чувашская республика (редакция 2014), 400002, Приказ Минстроя России от 05.05.2015 № 337/пр</t>
  </si>
  <si>
    <t>Автомобили бортовые, грузоподъемность до 8 т</t>
  </si>
  <si>
    <t>101-1521</t>
  </si>
  <si>
    <t>ТССЦ Чувашская республика (редакция 2014), 101-1521, Приказ Минстроя России от 05.05.2015 № 337/пр</t>
  </si>
  <si>
    <t>Электроды диаметром 5 мм Э42</t>
  </si>
  <si>
    <t>101-2278</t>
  </si>
  <si>
    <t>ТССЦ Чувашская республика (редакция 2014), 101-2278, Приказ Минстроя России от 05.05.2015 № 337/пр</t>
  </si>
  <si>
    <t>Пропан-бутан, смесь техническая</t>
  </si>
  <si>
    <t>999-9950</t>
  </si>
  <si>
    <t>ТССЦ Чувашская республика (редакция 2014), 999-9950, Приказ Минстроя России от 05.05.2015 № 337/пр</t>
  </si>
  <si>
    <t>Вспомогательные ненормируемые материалы (2% от ОЗП)</t>
  </si>
  <si>
    <t>РУБ</t>
  </si>
  <si>
    <t>1-1043-21</t>
  </si>
  <si>
    <t>Рабочий строитель среднего разряда 4,3</t>
  </si>
  <si>
    <t>020403</t>
  </si>
  <si>
    <t>ТСЭМ Чувашская республика (редакция 2014), 020403, Приказ Минстроя России от 05.05.2015 № 337/пр</t>
  </si>
  <si>
    <t>Краны козловые при работе на монтаже технологического оборудования 32 т</t>
  </si>
  <si>
    <t>021247</t>
  </si>
  <si>
    <t>ТСЭМ Чувашская республика (редакция 2014), 021247, Приказ Минстроя России от 05.05.2015 № 337/пр</t>
  </si>
  <si>
    <t>Краны на гусеничном ходу при работе на других видах строительства 100 т</t>
  </si>
  <si>
    <t>030203</t>
  </si>
  <si>
    <t>ТСЭМ Чувашская республика (редакция 2014), 030203, Приказ Минстроя России от 05.05.2015 № 337/пр</t>
  </si>
  <si>
    <t>Домкраты гидравлические грузоподъемностью 63-100 т</t>
  </si>
  <si>
    <t>030401</t>
  </si>
  <si>
    <t>ТСЭМ Чувашская республика (редакция 2014), 030401, Приказ Минстроя России от 05.05.2015 № 337/пр</t>
  </si>
  <si>
    <t>Лебедки электрические тяговым усилием до 5,79 кН (0,59 т)</t>
  </si>
  <si>
    <t>041000</t>
  </si>
  <si>
    <t>ТСЭМ Чувашская республика (редакция 2014), 041000, Приказ Минстроя России от 05.05.2015 № 337/пр</t>
  </si>
  <si>
    <t>Преобразователи сварочные с номинальным сварочным током 315-500 А</t>
  </si>
  <si>
    <t>041400</t>
  </si>
  <si>
    <t>ТСЭМ Чувашская республика (редакция 2014), 041400, Приказ Минстроя России от 05.05.2015 № 337/пр</t>
  </si>
  <si>
    <t>Электрические печи для сушки сварочных материалов с регулированием температуры в пределах от 80 °С до 500 °С</t>
  </si>
  <si>
    <t>101-0309</t>
  </si>
  <si>
    <t>ТССЦ Чувашская республика (редакция 2014), 101-0309, Приказ Минстроя России от 05.05.2015 № 337/пр</t>
  </si>
  <si>
    <t>Канаты пеньковые пропитанные</t>
  </si>
  <si>
    <t>101-0797</t>
  </si>
  <si>
    <t>ТССЦ Чувашская республика (редакция 2014), 101-0797, Приказ Минстроя России от 05.05.2015 № 337/пр</t>
  </si>
  <si>
    <t>Проволока горячекатаная в мотках, диаметром 6,3-6,5 мм</t>
  </si>
  <si>
    <t>101-1019</t>
  </si>
  <si>
    <t>ТССЦ Чувашская республика (редакция 2014), 101-1019, Приказ Минстроя России от 05.05.2015 № 337/пр</t>
  </si>
  <si>
    <t>Швеллеры № 40 из стали марки Ст0</t>
  </si>
  <si>
    <t>101-1515</t>
  </si>
  <si>
    <t>ТССЦ Чувашская республика (редакция 2014), 101-1515, Приказ Минстроя России от 05.05.2015 № 337/пр</t>
  </si>
  <si>
    <t>Электроды диаметром 4 мм Э46</t>
  </si>
  <si>
    <t>101-1805</t>
  </si>
  <si>
    <t>ТССЦ Чувашская республика (редакция 2014), 101-1805, Приказ Минстроя России от 05.05.2015 № 337/пр</t>
  </si>
  <si>
    <t>Гвозди строительные</t>
  </si>
  <si>
    <t>101-2467</t>
  </si>
  <si>
    <t>ТССЦ Чувашская республика (редакция 2014), 101-2467, Приказ Минстроя России от 05.05.2015 № 337/пр</t>
  </si>
  <si>
    <t>Растворитель марки Р-4</t>
  </si>
  <si>
    <t>102-0023</t>
  </si>
  <si>
    <t>ТССЦ Чувашская республика (редакция 2014), 102-0023, Приказ Минстроя России от 05.05.2015 № 337/пр</t>
  </si>
  <si>
    <t>Бруски обрезные хвойных пород длиной 4-6,5 м, шириной 75-150 мм, толщиной 40-75 мм, I сорта</t>
  </si>
  <si>
    <t>201-0756</t>
  </si>
  <si>
    <t>ТССЦ Чувашская республика (редакция 2014), 201-0756, Приказ Минстроя России от 05.05.2015 № 337/пр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</si>
  <si>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</si>
  <si>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508-0097</t>
  </si>
  <si>
    <t>ТССЦ Чувашская республика (редакция 2014), 508-0097, Приказ Минстроя России от 05.05.2015 № 337/пр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</si>
  <si>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</si>
  <si>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</si>
  <si>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1-1015-21</t>
  </si>
  <si>
    <t>Рабочий строитель среднего разряда 1,5</t>
  </si>
  <si>
    <t>400052</t>
  </si>
  <si>
    <t>ТСЭМ Чувашская республика (редакция 2014), 400052, Приказ Минстроя России от 05.05.2015 № 337/пр</t>
  </si>
  <si>
    <t>Автомобиль-самосвал, грузоподъемность до 10 т</t>
  </si>
  <si>
    <t>1-1023-21</t>
  </si>
  <si>
    <t>Рабочий строитель среднего разряда 2,3</t>
  </si>
  <si>
    <t>120202</t>
  </si>
  <si>
    <t>ТСЭМ Чувашская республика (редакция 2014), 120202, Приказ Минстроя России от 05.05.2015 № 337/пр</t>
  </si>
  <si>
    <t>Автогрейдеры среднего типа 99 кВт (135 л.с.)</t>
  </si>
  <si>
    <t>120911</t>
  </si>
  <si>
    <t>ТСЭМ Чувашская республика (редакция 2014), 120911, Приказ Минстроя России от 05.05.2015 № 337/пр</t>
  </si>
  <si>
    <t>Катки на пневмоколесном ходу 30 т</t>
  </si>
  <si>
    <t>121601</t>
  </si>
  <si>
    <t>ТСЭМ Чувашская республика (редакция 2014), 121601, Приказ Минстроя России от 05.05.2015 № 337/пр</t>
  </si>
  <si>
    <t>Машины поливомоечные 6000 л</t>
  </si>
  <si>
    <t>411-0001</t>
  </si>
  <si>
    <t>ТССЦ Чувашская республика (редакция 2014), 411-0001, Приказ Минстроя России от 05.05.2015 № 337/пр</t>
  </si>
  <si>
    <t>Вода</t>
  </si>
  <si>
    <t>020129</t>
  </si>
  <si>
    <t>ТСЭМ Чувашская республика (редакция 2014), 020129, Приказ Минстроя России от 05.05.2015 № 337/пр</t>
  </si>
  <si>
    <t>Краны башенные при работе на других видах строительства 8 т</t>
  </si>
  <si>
    <t>111301</t>
  </si>
  <si>
    <t>ТСЭМ Чувашская республика (редакция 2014), 111301, Приказ Минстроя России от 05.05.2015 № 337/пр</t>
  </si>
  <si>
    <t>Вибратор поверхностный</t>
  </si>
  <si>
    <t>101-1668</t>
  </si>
  <si>
    <t>ТССЦ Чувашская республика (редакция 2014), 101-1668, Приказ Минстроя России от 05.05.2015 № 337/пр</t>
  </si>
  <si>
    <t>Рогожа</t>
  </si>
  <si>
    <t>1-1033-21</t>
  </si>
  <si>
    <t>Рабочий строитель среднего разряда 3,3</t>
  </si>
  <si>
    <t>204-0100</t>
  </si>
  <si>
    <t>ТССЦ Чувашская республика (редакция 2014), 204-0100, Приказ Минстроя России от 05.05.2015 № 337/пр</t>
  </si>
  <si>
    <t>Горячекатаная арматурная сталь класса А-I, А-II, А-III</t>
  </si>
  <si>
    <t>040101</t>
  </si>
  <si>
    <t>ТСЭМ Чувашская республика (редакция 2014), 040101, Приказ Минстроя России от 05.05.2015 № 337/пр</t>
  </si>
  <si>
    <t>Электростанции передвижные 2 кВт</t>
  </si>
  <si>
    <t>331454</t>
  </si>
  <si>
    <t>ТСЭМ Чувашская республика (редакция 2014), 331454, Приказ Минстроя России от 05.05.2015 № 337/пр</t>
  </si>
  <si>
    <t>Перфоратор электрический мощностью 1,5 кВт, энергией удара до 18 Дж</t>
  </si>
  <si>
    <t>350155</t>
  </si>
  <si>
    <t>ТСЭМ Чувашская республика (редакция 2014), 350155, Приказ Минстроя России от 05.05.2015 № 337/пр</t>
  </si>
  <si>
    <t>Гайковерт электрический</t>
  </si>
  <si>
    <t>021244</t>
  </si>
  <si>
    <t>ТСЭМ Чувашская республика (редакция 2014), 021244, Приказ Минстроя России от 05.05.2015 № 337/пр</t>
  </si>
  <si>
    <t>Краны на гусеничном ходу при работе на других видах строительства 25 т</t>
  </si>
  <si>
    <t>101-1513</t>
  </si>
  <si>
    <t>ТССЦ Чувашская республика (редакция 2014), 101-1513, Приказ Минстроя России от 05.05.2015 № 337/пр</t>
  </si>
  <si>
    <t>Электроды диаметром 4 мм Э42</t>
  </si>
  <si>
    <t>1-1035-21</t>
  </si>
  <si>
    <t>Рабочий строитель среднего разряда 3,5</t>
  </si>
  <si>
    <t>021202</t>
  </si>
  <si>
    <t>ТСЭМ Чувашская республика (редакция 2014), 021202, Приказ Минстроя России от 05.05.2015 № 337/пр</t>
  </si>
  <si>
    <t>Краны на гусеничном ходу при работе на монтаже технологического оборудования 25 т</t>
  </si>
  <si>
    <t>021245</t>
  </si>
  <si>
    <t>ТСЭМ Чувашская республика (редакция 2014), 021245, Приказ Минстроя России от 05.05.2015 № 337/пр</t>
  </si>
  <si>
    <t>Краны на гусеничном ходу при работе на других видах строительства 40 т</t>
  </si>
  <si>
    <t>021246</t>
  </si>
  <si>
    <t>ТСЭМ Чувашская республика (редакция 2014), 021246, Приказ Минстроя России от 05.05.2015 № 337/пр</t>
  </si>
  <si>
    <t>Краны на гусеничном ходу при работе на других видах строительства 50-63 т</t>
  </si>
  <si>
    <t>1-1047-21</t>
  </si>
  <si>
    <t>Рабочий строитель среднего разряда 4,7</t>
  </si>
  <si>
    <t>340101</t>
  </si>
  <si>
    <t>ТСЭМ Чувашская республика (редакция 2014), 340101, Приказ Минстроя России от 05.05.2015 № 337/пр</t>
  </si>
  <si>
    <t>Агрегаты окрасочные высокого давления для окраски поверхностей конструкций мощностью 1 кВт</t>
  </si>
  <si>
    <t>113-0077</t>
  </si>
  <si>
    <t>ТССЦ Чувашская республика (редакция 2014), 113-0077, Приказ Минстроя России от 05.05.2015 № 337/пр</t>
  </si>
  <si>
    <t>Ксилол нефтяной марки А</t>
  </si>
  <si>
    <t>111100</t>
  </si>
  <si>
    <t>ТСЭМ Чувашская республика (редакция 2014), 111100, Приказ Минстроя России от 05.05.2015 № 337/пр</t>
  </si>
  <si>
    <t>Вибратор глубинный</t>
  </si>
  <si>
    <t>331532</t>
  </si>
  <si>
    <t>ТСЭМ Чувашская республика (редакция 2014), 331532, Приказ Минстроя России от 05.05.2015 № 337/пр</t>
  </si>
  <si>
    <t>Пила цепная электрическая</t>
  </si>
  <si>
    <t>102-0061</t>
  </si>
  <si>
    <t>ТССЦ Чувашская республика (редакция 2014), 102-0061, Приказ Минстроя России от 05.05.2015 № 337/пр</t>
  </si>
  <si>
    <t>Доски обрезные хвойных пород длиной 4-6,5 м, шириной 75-150 мм, толщиной 44 мм и более, III сорта</t>
  </si>
  <si>
    <t>203-0511</t>
  </si>
  <si>
    <t>ТССЦ Чувашская республика (редакция 2014), 203-0511, Приказ Минстроя России от 05.05.2015 № 337/пр</t>
  </si>
  <si>
    <t>Щиты из досок толщиной 25 мм</t>
  </si>
  <si>
    <t>405-0253</t>
  </si>
  <si>
    <t>ТССЦ Чувашская республика (редакция 2014), 405-0253, Приказ Минстроя России от 05.05.2015 № 337/пр</t>
  </si>
  <si>
    <t>Известь строительная негашеная комовая, сорт I</t>
  </si>
  <si>
    <t>102-0026</t>
  </si>
  <si>
    <t>ТССЦ Чувашская республика (редакция 2014), 102-0026, Приказ Минстроя России от 05.05.2015 № 337/пр</t>
  </si>
  <si>
    <t>Бруски обрезные хвойных пород длиной 4-6,5 м, шириной 75-150 мм, толщиной 40-75 мм, IV сорта</t>
  </si>
  <si>
    <t>402-0013</t>
  </si>
  <si>
    <t>ТССЦ Чувашская республика (редакция 2014), 402-0013, Приказ Минстроя России от 05.05.2015 № 337/пр</t>
  </si>
  <si>
    <t>Раствор готовый кладочный цементно-известковый марки 50</t>
  </si>
  <si>
    <t>404-0126</t>
  </si>
  <si>
    <t>ТССЦ Чувашская республика (редакция 2014), 404-0126, Приказ Минстроя России от 05.05.2015 № 337/пр</t>
  </si>
  <si>
    <t>Кирпич керамический лицевой, размером 250х120х65 мм, марка 125</t>
  </si>
  <si>
    <t>340312</t>
  </si>
  <si>
    <t>ТСЭМ Чувашская республика (редакция 2014), 340312, Приказ Минстроя России от 05.05.2015 № 337/пр</t>
  </si>
  <si>
    <t>Машины мозаично-шлифовальные</t>
  </si>
  <si>
    <t>101-2109</t>
  </si>
  <si>
    <t>ТССЦ Чувашская республика (редакция 2014), 101-2109, Приказ Минстроя России от 05.05.2015 № 337/пр</t>
  </si>
  <si>
    <t>Карборунд</t>
  </si>
  <si>
    <t>1-1036-21</t>
  </si>
  <si>
    <t>Рабочий строитель среднего разряда 3,6</t>
  </si>
  <si>
    <t>030952</t>
  </si>
  <si>
    <t>ТСЭМ Чувашская республика (редакция 2014), 030952, Приказ Минстроя России от 05.05.2015 № 337/пр</t>
  </si>
  <si>
    <t>Подъемники грузоподъемностью до 500 кг одномачтовые, высота подъема 25 м</t>
  </si>
  <si>
    <t>101-1757</t>
  </si>
  <si>
    <t>ТССЦ Чувашская республика (редакция 2014), 101-1757, Приказ Минстроя России от 05.05.2015 № 337/пр</t>
  </si>
  <si>
    <t>Ветошь</t>
  </si>
  <si>
    <t>101-4163</t>
  </si>
  <si>
    <t>ТССЦ Чувашская республика (редакция 2014), 101-4163, Приказ Минстроя России от 05.05.2015 № 337/пр</t>
  </si>
  <si>
    <t>Грунтовка акриловая НОРТЕКС-ГРУНТ</t>
  </si>
  <si>
    <t>101-1596</t>
  </si>
  <si>
    <t>ТССЦ Чувашская республика (редакция 2014), 101-1596, Приказ Минстроя России от 05.05.2015 № 337/пр</t>
  </si>
  <si>
    <t>Шкурка шлифовальная двухслойная с зернистостью 40-25</t>
  </si>
  <si>
    <t>101-3512</t>
  </si>
  <si>
    <t>ТССЦ Чувашская республика (редакция 2014), 101-3512, Приказ Минстроя России от 05.05.2015 № 337/пр</t>
  </si>
  <si>
    <t>Краска акриловая ВД-АК 2180, ВГТ</t>
  </si>
  <si>
    <t>101-3585</t>
  </si>
  <si>
    <t>ТССЦ Чувашская республика (редакция 2014), 101-3585, Приказ Минстроя России от 05.05.2015 № 337/пр</t>
  </si>
  <si>
    <t>Шпатлевка водно-дисперсионная</t>
  </si>
  <si>
    <t>060337</t>
  </si>
  <si>
    <t>ТСЭМ Чувашская республика (редакция 2014), 060337, Приказ Минстроя России от 05.05.2015 № 337/пр</t>
  </si>
  <si>
    <t>Экскаваторы одноковшовые дизельные на пневмоколесном ходу при работе на других видах строительства 0,25 м3</t>
  </si>
  <si>
    <t>408-0015</t>
  </si>
  <si>
    <t>ТССЦ Чувашская республика (редакция 2014), 408-0015, Приказ Минстроя России от 05.05.2015 № 337/пр</t>
  </si>
  <si>
    <t>Щебень из природного камня для строительных работ марка 800, фракция 20-40 мм</t>
  </si>
  <si>
    <t>1-1025-21</t>
  </si>
  <si>
    <t>Рабочий строитель среднего разряда 2,5</t>
  </si>
  <si>
    <t>070149</t>
  </si>
  <si>
    <t>ТСЭМ Чувашская республика (редакция 2014), 070149, Приказ Минстроя России от 05.05.2015 № 337/пр</t>
  </si>
  <si>
    <t>Бульдозеры при работе на других видах строительства 79 кВт (108 л.с.)</t>
  </si>
  <si>
    <t>120906</t>
  </si>
  <si>
    <t>ТСЭМ Чувашская республика (редакция 2014), 120906, Приказ Минстроя России от 05.05.2015 № 337/пр</t>
  </si>
  <si>
    <t>Катки дорожные самоходные гладкие 8 т</t>
  </si>
  <si>
    <t>120907</t>
  </si>
  <si>
    <t>ТСЭМ Чувашская республика (редакция 2014), 120907, Приказ Минстроя России от 05.05.2015 № 337/пр</t>
  </si>
  <si>
    <t>Катки дорожные самоходные гладкие 13 т</t>
  </si>
  <si>
    <t>121803</t>
  </si>
  <si>
    <t>ТСЭМ Чувашская республика (редакция 2014), 121803, Приказ Минстроя России от 05.05.2015 № 337/пр</t>
  </si>
  <si>
    <t>Распределители каменной мелочи</t>
  </si>
  <si>
    <t>408-0014</t>
  </si>
  <si>
    <t>ТССЦ Чувашская республика (редакция 2014), 408-0014, Приказ Минстроя России от 05.05.2015 № 337/пр</t>
  </si>
  <si>
    <t>Щебень из природного камня для строительных работ марка 800, фракция 10-20 мм</t>
  </si>
  <si>
    <t>408-0016</t>
  </si>
  <si>
    <t>ТССЦ Чувашская республика (редакция 2014), 408-0016, Приказ Минстроя России от 05.05.2015 № 337/пр</t>
  </si>
  <si>
    <t>Щебень из природного камня для строительных работ марка 800, фракция 40-70 мм</t>
  </si>
  <si>
    <t>120101</t>
  </si>
  <si>
    <t>ТСЭМ Чувашская республика (редакция 2014), 120101, Приказ Минстроя России от 05.05.2015 № 337/пр</t>
  </si>
  <si>
    <t>Автогудронаторы 3500 л</t>
  </si>
  <si>
    <t>101-1561</t>
  </si>
  <si>
    <t>ТССЦ Чувашская республика (редакция 2014), 101-1561, Приказ Минстроя России от 05.05.2015 № 337/пр</t>
  </si>
  <si>
    <t>Битумы нефтяные дорожные жидкие, класс МГ, СГ</t>
  </si>
  <si>
    <t>1-1034-21</t>
  </si>
  <si>
    <t>Рабочий строитель среднего разряда 3,4</t>
  </si>
  <si>
    <t>030301</t>
  </si>
  <si>
    <t>ТСЭМ Чувашская республика (редакция 2014), 030301, Приказ Минстроя России от 05.05.2015 № 337/пр</t>
  </si>
  <si>
    <t>Лебедки ручные и рычажные тяговым усилием до 9,81 кН (1 т)</t>
  </si>
  <si>
    <t>120909</t>
  </si>
  <si>
    <t>ТСЭМ Чувашская республика (редакция 2014), 120909, Приказ Минстроя России от 05.05.2015 № 337/пр</t>
  </si>
  <si>
    <t>Каток самоходный ДУ-84, гладковальцевый, 14 т</t>
  </si>
  <si>
    <t>120924</t>
  </si>
  <si>
    <t>ТСЭМ Чувашская республика (редакция 2014), 120924, Приказ Минстроя России от 05.05.2015 № 337/пр</t>
  </si>
  <si>
    <t>Каток вибрационный SD-120</t>
  </si>
  <si>
    <t>150401</t>
  </si>
  <si>
    <t>ТСЭМ Чувашская республика (редакция 2014), 150401, Приказ Минстроя России от 05.05.2015 № 337/пр</t>
  </si>
  <si>
    <t>Горелки газопламенные</t>
  </si>
  <si>
    <t>330302</t>
  </si>
  <si>
    <t>ТСЭМ Чувашская республика (редакция 2014), 330302, Приказ Минстроя России от 05.05.2015 № 337/пр</t>
  </si>
  <si>
    <t>Машины шлифовальные угловые</t>
  </si>
  <si>
    <t>381202</t>
  </si>
  <si>
    <t>ТСЭМ Чувашская республика (редакция 2014), 381202, Приказ Минстроя России от 05.05.2015 № 337/пр</t>
  </si>
  <si>
    <t>Асфальтоукладчик гусеничный типа ABG Titan 325 с шириной укладки от 2 до 5 м</t>
  </si>
  <si>
    <t>381204</t>
  </si>
  <si>
    <t>ТСЭМ Чувашская республика (редакция 2014), 381204, Приказ Минстроя России от 05.05.2015 № 337/пр</t>
  </si>
  <si>
    <t>Разогреватель швов ABACUS</t>
  </si>
  <si>
    <t>381207</t>
  </si>
  <si>
    <t>ТСЭМ Чувашская республика (редакция 2014), 381207, Приказ Минстроя России от 05.05.2015 № 337/пр</t>
  </si>
  <si>
    <t>Каток самоходный ABG DD 90, тандемный гладковальцевый, 10т</t>
  </si>
  <si>
    <t>391751</t>
  </si>
  <si>
    <t>ТСЭМ Чувашская республика (редакция 2014), 391751, Приказ Минстроя России от 05.05.2015 № 337/пр</t>
  </si>
  <si>
    <t>Компрессоры передвижные, давление 2,0 МПа, производительность 60 м3/мин</t>
  </si>
  <si>
    <t>393008</t>
  </si>
  <si>
    <t>ТСЭМ Чувашская республика (редакция 2014), 393008, Приказ Минстроя России от 05.05.2015 № 337/пр</t>
  </si>
  <si>
    <t>Нарезчик швов СР-15.2 Д</t>
  </si>
  <si>
    <t>400053</t>
  </si>
  <si>
    <t>ТСЭМ Чувашская республика (редакция 2014), 400053, Приказ Минстроя России от 05.05.2015 № 337/пр</t>
  </si>
  <si>
    <t>Автомобиль-самосвал, грузоподъемность до 15 т</t>
  </si>
  <si>
    <t>400302</t>
  </si>
  <si>
    <t>ТСЭМ Чувашская республика (редакция 2014), 400302, Приказ Минстроя России от 05.05.2015 № 337/пр</t>
  </si>
  <si>
    <t>Спецавтомашины типа УАЗ</t>
  </si>
  <si>
    <t>101-0782</t>
  </si>
  <si>
    <t>ТССЦ Чувашская республика (редакция 2014), 101-0782, Приказ Минстроя России от 05.05.2015 № 337/пр</t>
  </si>
  <si>
    <t>Поковки из квадратных заготовок, масса 1,8 кг</t>
  </si>
  <si>
    <t>101-1682</t>
  </si>
  <si>
    <t>ТССЦ Чувашская республика (редакция 2014), 101-1682, Приказ Минстроя России от 05.05.2015 № 337/пр</t>
  </si>
  <si>
    <t>Шнур полиамидный крученый, диаметром 2 мм</t>
  </si>
  <si>
    <t>101-1797</t>
  </si>
  <si>
    <t>ТССЦ Чувашская республика (редакция 2014), 101-1797, Приказ Минстроя России от 05.05.2015 № 337/пр</t>
  </si>
  <si>
    <t>Эмульсия битумно-дорожная</t>
  </si>
  <si>
    <t>101-1927</t>
  </si>
  <si>
    <t>ТССЦ Чувашская республика (редакция 2014), 101-1927, Приказ Минстроя России от 05.05.2015 № 337/пр</t>
  </si>
  <si>
    <t>Круг отрезной размером 125 мм</t>
  </si>
  <si>
    <t>101-1929</t>
  </si>
  <si>
    <t>ТССЦ Чувашская республика (редакция 2014), 101-1929, Приказ Минстроя России от 05.05.2015 № 337/пр</t>
  </si>
  <si>
    <t>204-0007</t>
  </si>
  <si>
    <t>ТССЦ Чувашская республика (редакция 2014), 204-0007, Приказ Минстроя России от 05.05.2015 № 337/пр</t>
  </si>
  <si>
    <t>Горячекатаная арматурная сталь гладкая класса А-I, диаметром 20-22 мм</t>
  </si>
  <si>
    <t>121231</t>
  </si>
  <si>
    <t>ТСЭМ Чувашская республика (редакция 2014), 121231, Приказ Минстроя России от 05.05.2015 № 337/пр</t>
  </si>
  <si>
    <t>Перегружатель асфальтовой смеси, емкость бункера до 25 т</t>
  </si>
  <si>
    <t>381205</t>
  </si>
  <si>
    <t>ТСЭМ Чувашская республика (редакция 2014), 381205, Приказ Минстроя России от 05.05.2015 № 337/пр</t>
  </si>
  <si>
    <t>Каток самоходный ABG DD 74 гладковальцевый, 7т</t>
  </si>
  <si>
    <t>381206</t>
  </si>
  <si>
    <t>ТСЭМ Чувашская республика (редакция 2014), 381206, Приказ Минстроя России от 05.05.2015 № 337/пр</t>
  </si>
  <si>
    <t>Каток самоходный BW-20R, тандемный на пневмоколесном ходу, 12т</t>
  </si>
  <si>
    <t>393010</t>
  </si>
  <si>
    <t>ТСЭМ Чувашская республика (редакция 2014), 393010, Приказ Минстроя России от 05.05.2015 № 337/пр</t>
  </si>
  <si>
    <t>Нарезчик швов FS-520</t>
  </si>
  <si>
    <t>101-1659</t>
  </si>
  <si>
    <t>ТССЦ Чувашская республика (редакция 2014), 101-1659, Приказ Минстроя России от 05.05.2015 № 337/пр</t>
  </si>
  <si>
    <t>Диск алмазный для твердых материалов, диаметр 350 мм</t>
  </si>
  <si>
    <t>410-0001</t>
  </si>
  <si>
    <t>ТССЦ Чувашская республика (редакция 2014), 410-0001, Приказ Минстроя России от 05.05.2015 № 337/пр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</si>
  <si>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I, тип А</t>
  </si>
  <si>
    <t>411-0002</t>
  </si>
  <si>
    <t>ТССЦ Чувашская республика (редакция 2014), 411-0002, Приказ Минстроя России от 05.05.2015 № 337/пр</t>
  </si>
  <si>
    <t>Вода водопроводная</t>
  </si>
  <si>
    <t>060115</t>
  </si>
  <si>
    <t>ТСЭМ Чувашская республика (редакция 2014), 060115, Приказ Минстроя России от 05.05.2015 № 337/пр</t>
  </si>
  <si>
    <t>Экскаваторы траншейные многоковшовые цепные при работе на других видах строительства 12 л</t>
  </si>
  <si>
    <t>120801</t>
  </si>
  <si>
    <t>ТСЭМ Чувашская республика (редакция 2014), 120801, Приказ Минстроя России от 05.05.2015 № 337/пр</t>
  </si>
  <si>
    <t>Катки полуприцепные на пневмоколесном ходу с тягачом 15 т</t>
  </si>
  <si>
    <t>040102</t>
  </si>
  <si>
    <t>ТСЭМ Чувашская республика (редакция 2014), 040102, Приказ Минстроя России от 05.05.2015 № 337/пр</t>
  </si>
  <si>
    <t>Электростанции передвижные 4 кВт</t>
  </si>
  <si>
    <t>331103</t>
  </si>
  <si>
    <t>ТСЭМ Чувашская республика (редакция 2014), 331103, Приказ Минстроя России от 05.05.2015 № 337/пр</t>
  </si>
  <si>
    <t>Трамбовки электрические</t>
  </si>
  <si>
    <t>101-1305</t>
  </si>
  <si>
    <t>ТССЦ Чувашская республика (редакция 2014), 101-1305, Приказ Минстроя России от 05.05.2015 № 337/пр</t>
  </si>
  <si>
    <t>Портландцемент общестроительного назначения бездобавочный, марки 400</t>
  </si>
  <si>
    <t>101-2611</t>
  </si>
  <si>
    <t>ТССЦ Чувашская республика (редакция 2014), 101-2611, Приказ Минстроя России от 05.05.2015 № 337/пр</t>
  </si>
  <si>
    <t>Опалубка металлическая</t>
  </si>
  <si>
    <t>401-0006</t>
  </si>
  <si>
    <t>ТССЦ Чувашская республика (редакция 2014), 401-0006, Приказ Минстроя России от 05.05.2015 № 337/пр</t>
  </si>
  <si>
    <t>Бетон тяжелый, класс В15 (М200)</t>
  </si>
  <si>
    <t>402-0064</t>
  </si>
  <si>
    <t>ТССЦ Чувашская республика (редакция 2014), 402-0064, Приказ Минстроя России от 05.05.2015 № 337/пр</t>
  </si>
  <si>
    <t>Раствор асбоцементный</t>
  </si>
  <si>
    <t>403-0120</t>
  </si>
  <si>
    <t>ТССЦ Чувашская республика (редакция 2014), 403-0120, Приказ Минстроя России от 05.05.2015 № 337/пр</t>
  </si>
  <si>
    <t>Кольца для колодцев сборные железобетонные диаметром 1500 мм</t>
  </si>
  <si>
    <t>403-3120</t>
  </si>
  <si>
    <t>ТССЦ Чувашская республика (редакция 2014), 403-3120, Приказ Минстроя России от 05.05.2015 № 337/пр</t>
  </si>
  <si>
    <t>Плиты железобетонные покрытий, перекрытий и днищ</t>
  </si>
  <si>
    <t>1-1028-21</t>
  </si>
  <si>
    <t>Рабочий строитель среднего разряда 2,8</t>
  </si>
  <si>
    <t>101-0783</t>
  </si>
  <si>
    <t>ТССЦ Чувашская республика (редакция 2014), 101-0783, Приказ Минстроя России от 05.05.2015 № 337/пр</t>
  </si>
  <si>
    <t>Поковки из квадратных заготовок, масса 2,825 кг</t>
  </si>
  <si>
    <t>101-1591</t>
  </si>
  <si>
    <t>ТССЦ Чувашская республика (редакция 2014), 101-1591, Приказ Минстроя России от 05.05.2015 № 337/пр</t>
  </si>
  <si>
    <t>Смола каменноугольная для дорожного строительства</t>
  </si>
  <si>
    <t>101-1742</t>
  </si>
  <si>
    <t>ТССЦ Чувашская республика (редакция 2014), 101-1742, Приказ Минстроя России от 05.05.2015 № 337/пр</t>
  </si>
  <si>
    <t>Толь с крупнозернистой посыпкой гидроизоляционный марки ТГ-350</t>
  </si>
  <si>
    <t>102-0028</t>
  </si>
  <si>
    <t>ТССЦ Чувашская республика (редакция 2014), 102-0028, Приказ Минстроя России от 05.05.2015 № 337/пр</t>
  </si>
  <si>
    <t>Бруски обрезные хвойных пород длиной 4-6,5 м, шириной 75-150 мм, толщиной 100, 125 мм, II сорта</t>
  </si>
  <si>
    <t>102-0060</t>
  </si>
  <si>
    <t>ТССЦ Чувашская республика (редакция 2014), 102-0060, Приказ Минстроя России от 05.05.2015 № 337/пр</t>
  </si>
  <si>
    <t>Доски обрезные хвойных пород длиной 4-6,5 м, шириной 75-150 мм, толщиной 44 мм и более, II сорта</t>
  </si>
  <si>
    <t>102-0077</t>
  </si>
  <si>
    <t>ТССЦ Чувашская республика (редакция 2014), 102-0077, Приказ Минстроя России от 05.05.2015 № 337/пр</t>
  </si>
  <si>
    <t>Доски необрезные хвойных пород длиной 4-6,5 м, все ширины, толщиной 32-40 мм, III сорта</t>
  </si>
  <si>
    <t>113-1777</t>
  </si>
  <si>
    <t>ТССЦ Чувашская республика (редакция 2014), 113-1777, Приказ Минстроя России от 05.05.2015 № 337/пр</t>
  </si>
  <si>
    <t>Паста антисептическая</t>
  </si>
  <si>
    <t>1-1031-21</t>
  </si>
  <si>
    <t>Рабочий строитель среднего разряда 3,1</t>
  </si>
  <si>
    <t>331531</t>
  </si>
  <si>
    <t>ТСЭМ Чувашская республика (редакция 2014), 331531, Приказ Минстроя России от 05.05.2015 № 337/пр</t>
  </si>
  <si>
    <t>Пила дисковая электрическая</t>
  </si>
  <si>
    <t>101-0181</t>
  </si>
  <si>
    <t>ТССЦ Чувашская республика (редакция 2014), 101-0181, Приказ Минстроя России от 05.05.2015 № 337/пр</t>
  </si>
  <si>
    <t>Гвозди строительные с плоской головкой 1,8х60 мм</t>
  </si>
  <si>
    <t>101-0195</t>
  </si>
  <si>
    <t>ТССЦ Чувашская республика (редакция 2014), 101-0195, Приказ Минстроя России от 05.05.2015 № 337/пр</t>
  </si>
  <si>
    <t>Гвозди толевые круглые 3,0х40 мм</t>
  </si>
  <si>
    <t>101-0851</t>
  </si>
  <si>
    <t>ТССЦ Чувашская республика (редакция 2014), 101-0851, Приказ Минстроя России от 05.05.2015 № 337/пр</t>
  </si>
  <si>
    <t>Пергамин кровельный марки П-350</t>
  </si>
  <si>
    <t>102-0052</t>
  </si>
  <si>
    <t>ТССЦ Чувашская республика (редакция 2014), 102-0052, Приказ Минстроя России от 05.05.2015 № 337/пр</t>
  </si>
  <si>
    <t>Доски обрезные хвойных пород длиной 4-6,5 м, шириной 75-150 мм, толщиной 25 мм, II сорта</t>
  </si>
  <si>
    <t>203-0367</t>
  </si>
  <si>
    <t>ТССЦ Чувашская республика (редакция 2014), 203-0367, Приказ Минстроя России от 05.05.2015 № 337/пр</t>
  </si>
  <si>
    <t>Обшивка наружная и внутренняя из древесины тип 0-1; 0-2; 0-3 толщиной 13 мм, шириной без гребня от 70 до 90 мм</t>
  </si>
  <si>
    <t>101-1875</t>
  </si>
  <si>
    <t>ТССЦ Чувашская республика (редакция 2014), 101-1875, Приказ Минстроя России от 05.05.2015 № 337/пр</t>
  </si>
  <si>
    <t>Сталь листовая оцинкованная толщиной листа 0,7 мм</t>
  </si>
  <si>
    <t>1-1050-21</t>
  </si>
  <si>
    <t>Рабочий строитель среднего разряда 5</t>
  </si>
  <si>
    <t>134041</t>
  </si>
  <si>
    <t>ТСЭМ Чувашская республика (редакция 2014), 134041, Приказ Минстроя России от 05.05.2015 № 337/пр</t>
  </si>
  <si>
    <t>Шуруповерт</t>
  </si>
  <si>
    <t>101-0954</t>
  </si>
  <si>
    <t>ТССЦ Чувашская республика (редакция 2014), 101-0954, Приказ Минстроя России от 05.05.2015 № 337/пр</t>
  </si>
  <si>
    <t>Прибор фрамужный с вертикальной тягой стальной, покрытый белой эмалью</t>
  </si>
  <si>
    <t>101-1480</t>
  </si>
  <si>
    <t>ТССЦ Чувашская республика (редакция 2014), 101-1480, Приказ Минстроя России от 05.05.2015 № 337/пр</t>
  </si>
  <si>
    <t>Шурупы с полукруглой головкой 3,5х35 мм</t>
  </si>
  <si>
    <t>(наименование стройки)</t>
  </si>
  <si>
    <t xml:space="preserve">Номер заказа   </t>
  </si>
  <si>
    <t xml:space="preserve">  на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</si>
  <si>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</si>
  <si>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</si>
  <si>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</si>
  <si>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</si>
  <si>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тыс.руб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</si>
  <si>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</si>
  <si>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</si>
  <si>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</si>
  <si>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</si>
  <si>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</si>
  <si>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</si>
  <si>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</si>
  <si>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</si>
  <si>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</si>
  <si>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</si>
  <si>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</si>
  <si>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</si>
  <si>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</si>
  <si>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</si>
  <si>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</si>
  <si>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</si>
  <si>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</si>
  <si>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</si>
  <si>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июнь 2024 года</t>
  </si>
  <si>
    <t>Зарплата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</si>
  <si>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</si>
  <si>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</si>
  <si>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</si>
  <si>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</si>
  <si>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</si>
  <si>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</si>
  <si>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>Материальные ресурсы</t>
  </si>
  <si>
    <t>Составил</t>
  </si>
  <si>
    <t>Должность</t>
  </si>
  <si>
    <t>Подпись</t>
  </si>
  <si>
    <t>Ф.И.О.</t>
  </si>
  <si>
    <t>М.П.</t>
  </si>
  <si>
    <t>Проверил</t>
  </si>
  <si>
    <t>TYPE</t>
  </si>
  <si>
    <t>SOURCE_LINK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</si>
  <si>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</si>
  <si>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</si>
  <si>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</si>
  <si>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</si>
  <si>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</si>
  <si>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</si>
  <si>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</si>
  <si>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</si>
  <si>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</si>
  <si>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PRICE_ED</t>
  </si>
  <si>
    <t>STOIM_B</t>
  </si>
  <si>
    <t>PRICE_C</t>
  </si>
  <si>
    <t>STOIM_C</t>
  </si>
  <si>
    <t>ZPM_B</t>
  </si>
  <si>
    <t>ZPM_ED</t>
  </si>
  <si>
    <t>STOIM_ZPM_B</t>
  </si>
  <si>
    <t>ZPM_C</t>
  </si>
  <si>
    <t>STOIM_ZPM_C</t>
  </si>
  <si>
    <t>CRC_GR_RES</t>
  </si>
  <si>
    <t>CRC_B</t>
  </si>
  <si>
    <t>CRC_C</t>
  </si>
  <si>
    <t>RABMAT</t>
  </si>
  <si>
    <t>WBS</t>
  </si>
  <si>
    <t>CBSI</t>
  </si>
  <si>
    <t>CBSII</t>
  </si>
  <si>
    <t>TechSpecCVORPP</t>
  </si>
  <si>
    <t>BuildingFinished</t>
  </si>
  <si>
    <t>PEREVOZKA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</si>
  <si>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</si>
  <si>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</si>
  <si>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</si>
  <si>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</si>
  <si>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</si>
  <si>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</si>
  <si>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</si>
  <si>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</si>
  <si>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</si>
  <si>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UnionOneUchRes</t>
  </si>
  <si>
    <t>IdLevel</t>
  </si>
  <si>
    <t>ViewCodes</t>
  </si>
  <si>
    <t>UnionCodes</t>
  </si>
  <si>
    <t>Ресурсная ведомость на</t>
  </si>
  <si>
    <t>Объект: Благоустройство кладбища в д. Нижнее Николаевское</t>
  </si>
  <si>
    <t>Обоснование</t>
  </si>
  <si>
    <t>Наименование</t>
  </si>
  <si>
    <t>Единица измерения</t>
  </si>
  <si>
    <t>Объем</t>
  </si>
  <si>
    <t>Базовая</t>
  </si>
  <si>
    <t>цена</t>
  </si>
  <si>
    <t>стоимость</t>
  </si>
  <si>
    <t>Текущая</t>
  </si>
  <si>
    <t xml:space="preserve">Трудовые ресурсы </t>
  </si>
  <si>
    <t xml:space="preserve">Итого трудовые ресурсы </t>
  </si>
  <si>
    <t xml:space="preserve">Машины и механизмы </t>
  </si>
  <si>
    <t xml:space="preserve">Итого машины и механизмы </t>
  </si>
  <si>
    <t xml:space="preserve">Материальные ресурсы </t>
  </si>
  <si>
    <t xml:space="preserve">Итого материальные ресурсы </t>
  </si>
  <si>
    <t>"СОГЛАСОВАНО"</t>
  </si>
  <si>
    <t>___________________________</t>
  </si>
  <si>
    <t>"УТВЕРЖДАЮ"</t>
  </si>
  <si>
    <t>" ___ " ___________ 20 ___ г.</t>
  </si>
  <si>
    <t>№ в ЛСР</t>
  </si>
  <si>
    <t>Количество</t>
  </si>
  <si>
    <t>Ссылка на чертежи, спецификации</t>
  </si>
  <si>
    <t>Формула расчета, расчет объемов работ и расхода материалов</t>
  </si>
  <si>
    <t>Примечание</t>
  </si>
  <si>
    <t>Главный инженер проекта _________________</t>
  </si>
  <si>
    <t>Составил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</si>
</sst>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\ #,##0.00"/>
  </numFmts>
  <fonts count="22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008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right" wrapText="1"/>
    </xf>
    <xf numFmtId="164" fontId="11" fillId="0" borderId="3" xfId="0" applyNumberFormat="1" applyFont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2" xfId="0" applyFont="1" applyBorder="1" applyAlignment="1">
      <alignment horizontal="left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64" fontId="20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right" vertical="top" wrapText="1"/>
    </xf>
    <xf numFmtId="0" fontId="21" fillId="0" borderId="2" xfId="0" applyFont="1" applyBorder="1" applyAlignment="1">
      <alignment horizontal="right" vertical="top"/>
    </xf>
    <xf numFmtId="164" fontId="21" fillId="0" borderId="2" xfId="0" applyNumberFormat="1" applyFont="1" applyBorder="1" applyAlignment="1">
      <alignment horizontal="right" vertical="top"/>
    </xf>
    <xf numFmtId="0" fontId="21" fillId="0" borderId="2" xfId="0" quotePrefix="1" applyFont="1" applyBorder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164" fontId="21" fillId="0" borderId="0" xfId="0" applyNumberFormat="1" applyFont="1" applyAlignment="1">
      <alignment horizontal="right" vertical="top"/>
    </xf>
    <xf numFmtId="0" fontId="21" fillId="0" borderId="0" xfId="0" quotePrefix="1" applyFont="1" applyAlignment="1">
      <alignment horizontal="right" vertical="top" wrapText="1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1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BF3A-41FB-427B-895B-3E140877E99B}">
  <dimension ref="A1:AG648"/>
  <sheetViews>
    <sheetView tabSelected="1" view="pageBreakPreview" zoomScale="60" zoomScaleNormal="93" workbookViewId="0">
      <selection activeCell="J638" sqref="J638:K638"/>
    </sheetView>
  </sheetViews>
  <sheetFormatPr defaultRowHeight="12.75" x14ac:dyDescent="0.2"/>
  <cols>
    <col min="1" max="1" width="5.7109375" style="52" customWidth="1"/>
    <col min="2" max="2" width="13.7109375" style="52" customWidth="1"/>
    <col min="3" max="3" width="40.7109375" style="52" customWidth="1"/>
    <col min="4" max="5" width="10.7109375" style="52" customWidth="1"/>
    <col min="6" max="8" width="12.7109375" style="52" customWidth="1"/>
    <col min="9" max="9" width="17.7109375" style="52" customWidth="1"/>
    <col min="10" max="10" width="8.7109375" style="52" customWidth="1"/>
    <col min="11" max="11" width="12.7109375" style="52" customWidth="1"/>
    <col min="12" max="12" width="8.7109375" style="52" customWidth="1"/>
    <col min="13" max="14" width="9.140625" style="52"/>
    <col min="15" max="29" width="0" style="52" hidden="1" customWidth="1"/>
    <col min="30" max="30" width="147.7109375" style="52" hidden="1" customWidth="1"/>
    <col min="31" max="31" width="160.7109375" style="52" hidden="1" customWidth="1"/>
    <col min="32" max="32" width="0" style="52" hidden="1" customWidth="1"/>
    <col min="33" max="33" width="91.7109375" style="52" hidden="1" customWidth="1"/>
    <col min="34" max="39" width="0" style="52" hidden="1" customWidth="1"/>
    <col min="40" max="16384" width="9.140625" style="52"/>
  </cols>
  <sheetData>
    <row r="1" spans="1:31" x14ac:dyDescent="0.2">
      <c r="A1" s="51" t="str">
        <f>Source!B1</f>
        <v>Smeta.RU Flash  (495) 974-1589</v>
      </c>
    </row>
    <row r="2" spans="1:31" ht="15.75" x14ac:dyDescent="0.2">
      <c r="A2" s="46"/>
      <c r="B2" s="53"/>
      <c r="C2" s="53"/>
      <c r="D2" s="53"/>
      <c r="E2" s="53"/>
      <c r="F2" s="53"/>
      <c r="G2" s="53"/>
      <c r="H2" s="53"/>
      <c r="I2" s="53"/>
      <c r="J2" s="53"/>
      <c r="K2" s="53"/>
      <c r="L2" s="46"/>
    </row>
    <row r="3" spans="1:31" ht="14.25" x14ac:dyDescent="0.2">
      <c r="A3" s="54"/>
      <c r="B3" s="11" t="s">
        <v>1179</v>
      </c>
      <c r="C3" s="11"/>
      <c r="D3" s="11"/>
      <c r="E3" s="11"/>
      <c r="F3" s="11"/>
      <c r="G3" s="11"/>
      <c r="H3" s="11"/>
      <c r="I3" s="11"/>
      <c r="J3" s="11"/>
      <c r="K3" s="11"/>
      <c r="L3" s="46"/>
    </row>
    <row r="4" spans="1:31" ht="14.25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31" ht="14.25" x14ac:dyDescent="0.2">
      <c r="A5" s="54"/>
      <c r="B5" s="54"/>
      <c r="C5" s="54"/>
      <c r="D5" s="54"/>
      <c r="E5" s="54"/>
      <c r="F5" s="55" t="s">
        <v>1180</v>
      </c>
      <c r="G5" s="55"/>
      <c r="H5" s="56" t="str">
        <f>Source!F12</f>
        <v>Новый объект</v>
      </c>
      <c r="I5" s="56"/>
      <c r="J5" s="56"/>
      <c r="K5" s="56"/>
      <c r="L5" s="46"/>
    </row>
    <row r="6" spans="1:31" ht="14.2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31" ht="15.75" x14ac:dyDescent="0.2">
      <c r="A7" s="57"/>
      <c r="B7" s="58" t="str">
        <f>CONCATENATE("ЛОКАЛЬНАЯ СМЕТА № ", Source!F20)</f>
        <v xml:space="preserve">ЛОКАЛЬНАЯ СМЕТА № </v>
      </c>
      <c r="C7" s="58"/>
      <c r="D7" s="58"/>
      <c r="E7" s="58"/>
      <c r="F7" s="58"/>
      <c r="G7" s="58"/>
      <c r="H7" s="58"/>
      <c r="I7" s="58"/>
      <c r="J7" s="58"/>
      <c r="K7" s="58"/>
      <c r="L7" s="57"/>
    </row>
    <row r="8" spans="1:31" ht="14.25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31" ht="15.75" x14ac:dyDescent="0.2">
      <c r="A9" s="54"/>
      <c r="B9" s="58" t="str">
        <f>Source!G20</f>
        <v>Новая локальная смета</v>
      </c>
      <c r="C9" s="58"/>
      <c r="D9" s="58"/>
      <c r="E9" s="58"/>
      <c r="F9" s="58"/>
      <c r="G9" s="58"/>
      <c r="H9" s="58"/>
      <c r="I9" s="58"/>
      <c r="J9" s="58"/>
      <c r="K9" s="58"/>
      <c r="L9" s="46"/>
      <c r="AD9" s="59" t="str">
        <f>Source!G20</f>
        <v>Новая локальная смета</v>
      </c>
    </row>
    <row r="10" spans="1:31" ht="14.25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31" ht="18" x14ac:dyDescent="0.2">
      <c r="A11" s="54" t="s">
        <v>1181</v>
      </c>
      <c r="B11" s="60" t="str">
        <f>Source!G12</f>
        <v>Благоустройство кладбища в д. Нижнее Николаевское</v>
      </c>
      <c r="C11" s="60"/>
      <c r="D11" s="60"/>
      <c r="E11" s="60"/>
      <c r="F11" s="60"/>
      <c r="G11" s="60"/>
      <c r="H11" s="60"/>
      <c r="I11" s="60"/>
      <c r="J11" s="60"/>
      <c r="K11" s="60"/>
      <c r="L11" s="57"/>
      <c r="AD11" s="61" t="str">
        <f>Source!G12</f>
        <v>Благоустройство кладбища в д. Нижнее Николаевское</v>
      </c>
    </row>
    <row r="12" spans="1:31" ht="14.25" x14ac:dyDescent="0.2">
      <c r="A12" s="54"/>
      <c r="B12" s="12" t="s">
        <v>1182</v>
      </c>
      <c r="C12" s="12"/>
      <c r="D12" s="12"/>
      <c r="E12" s="12"/>
      <c r="F12" s="12"/>
      <c r="G12" s="12"/>
      <c r="H12" s="12"/>
      <c r="I12" s="12"/>
      <c r="J12" s="12"/>
      <c r="K12" s="12"/>
      <c r="L12" s="46"/>
    </row>
    <row r="13" spans="1:31" ht="14.25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31" ht="14.25" x14ac:dyDescent="0.2">
      <c r="A14" s="62" t="str">
        <f>CONCATENATE("Основание: ", Source!J20)</f>
        <v xml:space="preserve">Основание: 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AE14" s="17" t="str">
        <f>CONCATENATE("Основание: ", Source!J20)</f>
        <v xml:space="preserve">Основание: </v>
      </c>
    </row>
    <row r="15" spans="1:31" ht="14.25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31" ht="14.25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31" ht="14.25" x14ac:dyDescent="0.2">
      <c r="A17" s="54"/>
      <c r="B17" s="54"/>
      <c r="C17" s="54"/>
      <c r="D17" s="54"/>
      <c r="E17" s="63"/>
      <c r="F17" s="63"/>
      <c r="G17" s="13" t="s">
        <v>1183</v>
      </c>
      <c r="H17" s="13"/>
      <c r="I17" s="13" t="s">
        <v>1184</v>
      </c>
      <c r="J17" s="13"/>
      <c r="K17" s="54"/>
      <c r="L17" s="54"/>
    </row>
    <row r="18" spans="1:31" ht="15" x14ac:dyDescent="0.2">
      <c r="A18" s="54"/>
      <c r="B18" s="54"/>
      <c r="C18" s="64" t="s">
        <v>1185</v>
      </c>
      <c r="D18" s="64"/>
      <c r="E18" s="64"/>
      <c r="F18" s="64"/>
      <c r="G18" s="65">
        <f>SUM(O29:O628)/1000</f>
        <v>471.80651</v>
      </c>
      <c r="H18" s="65"/>
      <c r="I18" s="65">
        <f>ROUND((Source!F561/1000), 2)</f>
        <v>3745.07</v>
      </c>
      <c r="J18" s="65"/>
      <c r="K18" s="66" t="s">
        <v>1186</v>
      </c>
      <c r="L18" s="66"/>
    </row>
    <row r="19" spans="1:31" ht="14.25" x14ac:dyDescent="0.2">
      <c r="A19" s="54"/>
      <c r="B19" s="54"/>
      <c r="C19" s="67" t="s">
        <v>1187</v>
      </c>
      <c r="D19" s="67"/>
      <c r="E19" s="67"/>
      <c r="F19" s="67"/>
      <c r="G19" s="65">
        <f>SUM(W29:W628)/1000</f>
        <v>471.00873999999999</v>
      </c>
      <c r="H19" s="65"/>
      <c r="I19" s="65">
        <f>ROUND((Source!F550)/1000, 2)</f>
        <v>3722.02</v>
      </c>
      <c r="J19" s="65"/>
      <c r="K19" s="66" t="s">
        <v>1186</v>
      </c>
      <c r="L19" s="66"/>
    </row>
    <row r="20" spans="1:31" ht="14.25" x14ac:dyDescent="0.2">
      <c r="A20" s="54"/>
      <c r="B20" s="54"/>
      <c r="C20" s="67" t="s">
        <v>1188</v>
      </c>
      <c r="D20" s="67"/>
      <c r="E20" s="67"/>
      <c r="F20" s="67"/>
      <c r="G20" s="65">
        <f>SUM(X29:X628)/1000</f>
        <v>0.79776999999999987</v>
      </c>
      <c r="H20" s="65"/>
      <c r="I20" s="65">
        <f>ROUND((Source!F551)/1000, 2)</f>
        <v>23.06</v>
      </c>
      <c r="J20" s="65"/>
      <c r="K20" s="66" t="s">
        <v>1186</v>
      </c>
      <c r="L20" s="66"/>
    </row>
    <row r="21" spans="1:31" ht="14.25" x14ac:dyDescent="0.2">
      <c r="A21" s="54"/>
      <c r="B21" s="54"/>
      <c r="C21" s="67" t="s">
        <v>1189</v>
      </c>
      <c r="D21" s="67"/>
      <c r="E21" s="67"/>
      <c r="F21" s="67"/>
      <c r="G21" s="65">
        <f>SUM(Y29:Y628)/1000</f>
        <v>0</v>
      </c>
      <c r="H21" s="65"/>
      <c r="I21" s="65">
        <f>ROUND((Source!F542)/1000, 2)</f>
        <v>0</v>
      </c>
      <c r="J21" s="65"/>
      <c r="K21" s="66" t="s">
        <v>1186</v>
      </c>
      <c r="L21" s="66"/>
    </row>
    <row r="22" spans="1:31" ht="14.25" x14ac:dyDescent="0.2">
      <c r="A22" s="54"/>
      <c r="B22" s="54"/>
      <c r="C22" s="67" t="s">
        <v>1190</v>
      </c>
      <c r="D22" s="67"/>
      <c r="E22" s="67"/>
      <c r="F22" s="67"/>
      <c r="G22" s="65">
        <f>SUM(Z29:Z628)/1000</f>
        <v>0</v>
      </c>
      <c r="H22" s="65"/>
      <c r="I22" s="65">
        <f>ROUND((Source!F552+Source!F553)/1000, 2)</f>
        <v>0</v>
      </c>
      <c r="J22" s="65"/>
      <c r="K22" s="66" t="s">
        <v>1186</v>
      </c>
      <c r="L22" s="66"/>
    </row>
    <row r="23" spans="1:31" ht="15" x14ac:dyDescent="0.2">
      <c r="A23" s="54"/>
      <c r="B23" s="54"/>
      <c r="C23" s="64" t="s">
        <v>1191</v>
      </c>
      <c r="D23" s="64"/>
      <c r="E23" s="64"/>
      <c r="F23" s="64"/>
      <c r="G23" s="65">
        <f>I23</f>
        <v>2754.4852070000006</v>
      </c>
      <c r="H23" s="65"/>
      <c r="I23" s="65">
        <f>(Source!F555+Source!F556)</f>
        <v>2754.4852070000006</v>
      </c>
      <c r="J23" s="65"/>
      <c r="K23" s="66" t="s">
        <v>696</v>
      </c>
      <c r="L23" s="66"/>
    </row>
    <row r="24" spans="1:31" ht="15" x14ac:dyDescent="0.2">
      <c r="A24" s="54"/>
      <c r="B24" s="54"/>
      <c r="C24" s="64" t="s">
        <v>1192</v>
      </c>
      <c r="D24" s="64"/>
      <c r="E24" s="64"/>
      <c r="F24" s="64"/>
      <c r="G24" s="65">
        <f>SUM(R29:R628)/1000</f>
        <v>24.654850000000014</v>
      </c>
      <c r="H24" s="65"/>
      <c r="I24" s="65">
        <f>(Source!F548+ Source!F547)/1000</f>
        <v>869.57733999999994</v>
      </c>
      <c r="J24" s="65"/>
      <c r="K24" s="66" t="s">
        <v>1186</v>
      </c>
      <c r="L24" s="66"/>
    </row>
    <row r="25" spans="1:31" ht="14.25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31" ht="14.25" x14ac:dyDescent="0.2">
      <c r="A26" s="68" t="s">
        <v>1205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31" s="107" customFormat="1" ht="57" x14ac:dyDescent="0.2">
      <c r="A27" s="15" t="s">
        <v>1193</v>
      </c>
      <c r="B27" s="15" t="s">
        <v>1194</v>
      </c>
      <c r="C27" s="15" t="s">
        <v>1195</v>
      </c>
      <c r="D27" s="15" t="s">
        <v>1196</v>
      </c>
      <c r="E27" s="15" t="s">
        <v>1197</v>
      </c>
      <c r="F27" s="15" t="s">
        <v>1198</v>
      </c>
      <c r="G27" s="15" t="s">
        <v>1199</v>
      </c>
      <c r="H27" s="15" t="s">
        <v>1200</v>
      </c>
      <c r="I27" s="15" t="s">
        <v>1201</v>
      </c>
      <c r="J27" s="15" t="s">
        <v>1202</v>
      </c>
      <c r="K27" s="15" t="s">
        <v>1203</v>
      </c>
      <c r="L27" s="15" t="s">
        <v>1204</v>
      </c>
    </row>
    <row r="28" spans="1:31" s="107" customFormat="1" ht="14.25" x14ac:dyDescent="0.2">
      <c r="A28" s="108">
        <v>1</v>
      </c>
      <c r="B28" s="108">
        <v>2</v>
      </c>
      <c r="C28" s="108">
        <v>3</v>
      </c>
      <c r="D28" s="108">
        <v>4</v>
      </c>
      <c r="E28" s="108">
        <v>5</v>
      </c>
      <c r="F28" s="108">
        <v>6</v>
      </c>
      <c r="G28" s="108">
        <v>7</v>
      </c>
      <c r="H28" s="108">
        <v>8</v>
      </c>
      <c r="I28" s="108">
        <v>9</v>
      </c>
      <c r="J28" s="108">
        <v>10</v>
      </c>
      <c r="K28" s="108">
        <v>11</v>
      </c>
      <c r="L28" s="48">
        <v>12</v>
      </c>
    </row>
    <row r="30" spans="1:31" ht="16.5" x14ac:dyDescent="0.2">
      <c r="A30" s="69" t="str">
        <f>CONCATENATE("Раздел: ", Source!G24)</f>
        <v>Раздел: Подготовительные работы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AE30" s="70" t="str">
        <f>CONCATENATE("Раздел: ", Source!G24)</f>
        <v>Раздел: Подготовительные работы</v>
      </c>
    </row>
    <row r="31" spans="1:31" ht="28.5" x14ac:dyDescent="0.2">
      <c r="A31" s="16" t="str">
        <f>Source!E28</f>
        <v>1</v>
      </c>
      <c r="B31" s="17" t="str">
        <f>Source!F28</f>
        <v>01-02-099-1</v>
      </c>
      <c r="C31" s="17" t="str">
        <f>Source!G28</f>
        <v>Валка деревьев мягких пород с корня, диаметр стволов до 16 см</v>
      </c>
      <c r="D31" s="71" t="str">
        <f>Source!H28</f>
        <v>100 деревьев</v>
      </c>
      <c r="E31" s="72">
        <f>Source!I28</f>
        <v>0.2</v>
      </c>
      <c r="F31" s="73">
        <f>IF(Source!AK28&lt;&gt; 0, Source!AK28,Source!AL28 + Source!AM28 + Source!AO28)</f>
        <v>55.6</v>
      </c>
      <c r="G31" s="74"/>
      <c r="H31" s="73"/>
      <c r="I31" s="74" t="str">
        <f>Source!BO28</f>
        <v>01-02-099-1</v>
      </c>
      <c r="J31" s="74"/>
      <c r="K31" s="73"/>
      <c r="L31" s="75"/>
      <c r="S31" s="52">
        <f>ROUND((Source!FX28/100)*((ROUND(Source!AF28*Source!I28, 2)+ROUND(Source!AE28*Source!I28, 2))), 2)</f>
        <v>8.15</v>
      </c>
      <c r="T31" s="52">
        <f>Source!X28</f>
        <v>287.52999999999997</v>
      </c>
      <c r="U31" s="52">
        <f>ROUND((Source!FY28/100)*((ROUND(Source!AF28*Source!I28, 2)+ROUND(Source!AE28*Source!I28, 2))), 2)</f>
        <v>3.76</v>
      </c>
      <c r="V31" s="52">
        <f>Source!Y28</f>
        <v>132.46</v>
      </c>
    </row>
    <row r="32" spans="1:31" x14ac:dyDescent="0.2">
      <c r="C32" s="18" t="str">
        <f>"Объем: "&amp;Source!I28&amp;"=20/"&amp;"100"</f>
        <v>Объем: 0,2=20/100</v>
      </c>
    </row>
    <row r="33" spans="1:26" ht="14.25" x14ac:dyDescent="0.2">
      <c r="A33" s="16"/>
      <c r="B33" s="17"/>
      <c r="C33" s="17" t="s">
        <v>1206</v>
      </c>
      <c r="D33" s="71"/>
      <c r="E33" s="72"/>
      <c r="F33" s="73">
        <f>Source!AO28</f>
        <v>45.8</v>
      </c>
      <c r="G33" s="74" t="str">
        <f>Source!DG28</f>
        <v/>
      </c>
      <c r="H33" s="73">
        <f>ROUND(Source!AF28*Source!I28, 2)</f>
        <v>9.16</v>
      </c>
      <c r="I33" s="74"/>
      <c r="J33" s="74">
        <f>IF(Source!BA28&lt;&gt; 0, Source!BA28, 1)</f>
        <v>35.270000000000003</v>
      </c>
      <c r="K33" s="73">
        <f>Source!S28</f>
        <v>323.07</v>
      </c>
      <c r="L33" s="75"/>
      <c r="R33" s="52">
        <f>H33</f>
        <v>9.16</v>
      </c>
    </row>
    <row r="34" spans="1:26" ht="14.25" x14ac:dyDescent="0.2">
      <c r="A34" s="16"/>
      <c r="B34" s="17"/>
      <c r="C34" s="17" t="s">
        <v>103</v>
      </c>
      <c r="D34" s="71"/>
      <c r="E34" s="72"/>
      <c r="F34" s="73">
        <f>Source!AM28</f>
        <v>9.8000000000000007</v>
      </c>
      <c r="G34" s="74" t="str">
        <f>Source!DE28</f>
        <v/>
      </c>
      <c r="H34" s="73">
        <f>ROUND((((Source!ET28)-(Source!EU28))+Source!AE28)*Source!I28, 2)</f>
        <v>1.96</v>
      </c>
      <c r="I34" s="74"/>
      <c r="J34" s="74">
        <f>IF(Source!BB28&lt;&gt; 0, Source!BB28, 1)</f>
        <v>6.43</v>
      </c>
      <c r="K34" s="73">
        <f>Source!Q28</f>
        <v>12.6</v>
      </c>
      <c r="L34" s="75"/>
    </row>
    <row r="35" spans="1:26" ht="14.25" x14ac:dyDescent="0.2">
      <c r="A35" s="16"/>
      <c r="B35" s="17"/>
      <c r="C35" s="17" t="s">
        <v>1207</v>
      </c>
      <c r="D35" s="71" t="s">
        <v>1208</v>
      </c>
      <c r="E35" s="72">
        <f>Source!BZ28</f>
        <v>89</v>
      </c>
      <c r="F35" s="76"/>
      <c r="G35" s="74"/>
      <c r="H35" s="73">
        <f>SUM(S31:S37)</f>
        <v>8.15</v>
      </c>
      <c r="I35" s="77"/>
      <c r="J35" s="17">
        <f>Source!AT28</f>
        <v>89</v>
      </c>
      <c r="K35" s="73">
        <f>SUM(T31:T37)</f>
        <v>287.52999999999997</v>
      </c>
      <c r="L35" s="75"/>
    </row>
    <row r="36" spans="1:26" ht="14.25" x14ac:dyDescent="0.2">
      <c r="A36" s="16"/>
      <c r="B36" s="17"/>
      <c r="C36" s="17" t="s">
        <v>1209</v>
      </c>
      <c r="D36" s="71" t="s">
        <v>1208</v>
      </c>
      <c r="E36" s="72">
        <f>Source!CA28</f>
        <v>41</v>
      </c>
      <c r="F36" s="76"/>
      <c r="G36" s="74"/>
      <c r="H36" s="73">
        <f>SUM(U31:U37)</f>
        <v>3.76</v>
      </c>
      <c r="I36" s="77"/>
      <c r="J36" s="17">
        <f>Source!AU28</f>
        <v>41</v>
      </c>
      <c r="K36" s="73">
        <f>SUM(V31:V37)</f>
        <v>132.46</v>
      </c>
      <c r="L36" s="75"/>
    </row>
    <row r="37" spans="1:26" ht="14.25" x14ac:dyDescent="0.2">
      <c r="A37" s="20"/>
      <c r="B37" s="21"/>
      <c r="C37" s="21" t="s">
        <v>1210</v>
      </c>
      <c r="D37" s="78" t="s">
        <v>1211</v>
      </c>
      <c r="E37" s="79">
        <f>Source!AQ28</f>
        <v>5.21</v>
      </c>
      <c r="F37" s="80"/>
      <c r="G37" s="81" t="str">
        <f>Source!DI28</f>
        <v/>
      </c>
      <c r="H37" s="80"/>
      <c r="I37" s="81"/>
      <c r="J37" s="81"/>
      <c r="K37" s="80"/>
      <c r="L37" s="82">
        <f>Source!U28</f>
        <v>1.042</v>
      </c>
    </row>
    <row r="38" spans="1:26" ht="15" x14ac:dyDescent="0.2">
      <c r="G38" s="83">
        <f>ROUND(Source!AC28*Source!I28, 2)+ROUND(Source!AF28*Source!I28, 2)+ROUND((((Source!ET28)-(Source!EU28))+Source!AE28)*Source!I28, 2)+SUM(H35:H36)</f>
        <v>23.03</v>
      </c>
      <c r="H38" s="83"/>
      <c r="J38" s="83">
        <f>Source!O28+SUM(K35:K36)</f>
        <v>755.66000000000008</v>
      </c>
      <c r="K38" s="83"/>
      <c r="L38" s="84">
        <f>Source!U28</f>
        <v>1.042</v>
      </c>
      <c r="O38" s="85">
        <f>G38</f>
        <v>23.03</v>
      </c>
      <c r="P38" s="85">
        <f>J38</f>
        <v>755.66000000000008</v>
      </c>
      <c r="Q38" s="85">
        <f>L38</f>
        <v>1.042</v>
      </c>
      <c r="W38" s="52">
        <f>IF(Source!BI28&lt;=1,G38, 0)</f>
        <v>23.03</v>
      </c>
      <c r="X38" s="52">
        <f>IF(Source!BI28=2,G38, 0)</f>
        <v>0</v>
      </c>
      <c r="Y38" s="52">
        <f>IF(Source!BI28=3,G38, 0)</f>
        <v>0</v>
      </c>
      <c r="Z38" s="52">
        <f>IF(Source!BI28=4,G38, 0)</f>
        <v>0</v>
      </c>
    </row>
    <row r="39" spans="1:26" ht="28.5" x14ac:dyDescent="0.2">
      <c r="A39" s="16" t="str">
        <f>Source!E29</f>
        <v>2</v>
      </c>
      <c r="B39" s="17" t="str">
        <f>Source!F29</f>
        <v>01-02-111-3</v>
      </c>
      <c r="C39" s="17" t="str">
        <f>Source!G29</f>
        <v>Корчевка вручную пней диаметром от 190 до 250 мм</v>
      </c>
      <c r="D39" s="71" t="str">
        <f>Source!H29</f>
        <v>100 пней</v>
      </c>
      <c r="E39" s="72">
        <f>Source!I29</f>
        <v>0.2</v>
      </c>
      <c r="F39" s="73">
        <f>IF(Source!AK29&lt;&gt; 0, Source!AK29,Source!AL29 + Source!AM29 + Source!AO29)</f>
        <v>298.89</v>
      </c>
      <c r="G39" s="74"/>
      <c r="H39" s="73"/>
      <c r="I39" s="74" t="str">
        <f>Source!BO29</f>
        <v>01-02-111-3</v>
      </c>
      <c r="J39" s="74"/>
      <c r="K39" s="73"/>
      <c r="L39" s="75"/>
      <c r="S39" s="52">
        <f>ROUND((Source!FX29/100)*((ROUND(Source!AF29*Source!I29, 2)+ROUND(Source!AE29*Source!I29, 2))), 2)</f>
        <v>53.2</v>
      </c>
      <c r="T39" s="52">
        <f>Source!X29</f>
        <v>1876.45</v>
      </c>
      <c r="U39" s="52">
        <f>ROUND((Source!FY29/100)*((ROUND(Source!AF29*Source!I29, 2)+ROUND(Source!AE29*Source!I29, 2))), 2)</f>
        <v>24.51</v>
      </c>
      <c r="V39" s="52">
        <f>Source!Y29</f>
        <v>864.43</v>
      </c>
    </row>
    <row r="40" spans="1:26" x14ac:dyDescent="0.2">
      <c r="C40" s="18" t="str">
        <f>"Объем: "&amp;Source!I29&amp;"=20/"&amp;"100"</f>
        <v>Объем: 0,2=20/100</v>
      </c>
    </row>
    <row r="41" spans="1:26" ht="14.25" x14ac:dyDescent="0.2">
      <c r="A41" s="16"/>
      <c r="B41" s="17"/>
      <c r="C41" s="17" t="s">
        <v>1206</v>
      </c>
      <c r="D41" s="71"/>
      <c r="E41" s="72"/>
      <c r="F41" s="73">
        <f>Source!AO29</f>
        <v>298.89</v>
      </c>
      <c r="G41" s="74" t="str">
        <f>Source!DG29</f>
        <v/>
      </c>
      <c r="H41" s="73">
        <f>ROUND(Source!AF29*Source!I29, 2)</f>
        <v>59.78</v>
      </c>
      <c r="I41" s="74"/>
      <c r="J41" s="74">
        <f>IF(Source!BA29&lt;&gt; 0, Source!BA29, 1)</f>
        <v>35.270000000000003</v>
      </c>
      <c r="K41" s="73">
        <f>Source!S29</f>
        <v>2108.37</v>
      </c>
      <c r="L41" s="75"/>
      <c r="R41" s="52">
        <f>H41</f>
        <v>59.78</v>
      </c>
    </row>
    <row r="42" spans="1:26" ht="14.25" x14ac:dyDescent="0.2">
      <c r="A42" s="16"/>
      <c r="B42" s="17"/>
      <c r="C42" s="17" t="s">
        <v>1207</v>
      </c>
      <c r="D42" s="71" t="s">
        <v>1208</v>
      </c>
      <c r="E42" s="72">
        <f>Source!BZ29</f>
        <v>89</v>
      </c>
      <c r="F42" s="76"/>
      <c r="G42" s="74"/>
      <c r="H42" s="73">
        <f>SUM(S39:S44)</f>
        <v>53.2</v>
      </c>
      <c r="I42" s="77"/>
      <c r="J42" s="17">
        <f>Source!AT29</f>
        <v>89</v>
      </c>
      <c r="K42" s="73">
        <f>SUM(T39:T44)</f>
        <v>1876.45</v>
      </c>
      <c r="L42" s="75"/>
    </row>
    <row r="43" spans="1:26" ht="14.25" x14ac:dyDescent="0.2">
      <c r="A43" s="16"/>
      <c r="B43" s="17"/>
      <c r="C43" s="17" t="s">
        <v>1209</v>
      </c>
      <c r="D43" s="71" t="s">
        <v>1208</v>
      </c>
      <c r="E43" s="72">
        <f>Source!CA29</f>
        <v>41</v>
      </c>
      <c r="F43" s="76"/>
      <c r="G43" s="74"/>
      <c r="H43" s="73">
        <f>SUM(U39:U44)</f>
        <v>24.51</v>
      </c>
      <c r="I43" s="77"/>
      <c r="J43" s="17">
        <f>Source!AU29</f>
        <v>41</v>
      </c>
      <c r="K43" s="73">
        <f>SUM(V39:V44)</f>
        <v>864.43</v>
      </c>
      <c r="L43" s="75"/>
    </row>
    <row r="44" spans="1:26" ht="14.25" x14ac:dyDescent="0.2">
      <c r="A44" s="20"/>
      <c r="B44" s="21"/>
      <c r="C44" s="21" t="s">
        <v>1210</v>
      </c>
      <c r="D44" s="78" t="s">
        <v>1211</v>
      </c>
      <c r="E44" s="79">
        <f>Source!AQ29</f>
        <v>41</v>
      </c>
      <c r="F44" s="80"/>
      <c r="G44" s="81" t="str">
        <f>Source!DI29</f>
        <v/>
      </c>
      <c r="H44" s="80"/>
      <c r="I44" s="81"/>
      <c r="J44" s="81"/>
      <c r="K44" s="80"/>
      <c r="L44" s="82">
        <f>Source!U29</f>
        <v>8.2000000000000011</v>
      </c>
    </row>
    <row r="45" spans="1:26" ht="15" x14ac:dyDescent="0.2">
      <c r="G45" s="83">
        <f>ROUND(Source!AC29*Source!I29, 2)+ROUND(Source!AF29*Source!I29, 2)+ROUND((((Source!ET29)-(Source!EU29))+Source!AE29)*Source!I29, 2)+SUM(H42:H43)</f>
        <v>137.49</v>
      </c>
      <c r="H45" s="83"/>
      <c r="J45" s="83">
        <f>Source!O29+SUM(K42:K43)</f>
        <v>4849.25</v>
      </c>
      <c r="K45" s="83"/>
      <c r="L45" s="84">
        <f>Source!U29</f>
        <v>8.2000000000000011</v>
      </c>
      <c r="O45" s="85">
        <f>G45</f>
        <v>137.49</v>
      </c>
      <c r="P45" s="85">
        <f>J45</f>
        <v>4849.25</v>
      </c>
      <c r="Q45" s="85">
        <f>L45</f>
        <v>8.2000000000000011</v>
      </c>
      <c r="W45" s="52">
        <f>IF(Source!BI29&lt;=1,G45, 0)</f>
        <v>137.49</v>
      </c>
      <c r="X45" s="52">
        <f>IF(Source!BI29=2,G45, 0)</f>
        <v>0</v>
      </c>
      <c r="Y45" s="52">
        <f>IF(Source!BI29=3,G45, 0)</f>
        <v>0</v>
      </c>
      <c r="Z45" s="52">
        <f>IF(Source!BI29=4,G45, 0)</f>
        <v>0</v>
      </c>
    </row>
    <row r="46" spans="1:26" ht="28.5" x14ac:dyDescent="0.2">
      <c r="A46" s="16" t="str">
        <f>Source!E30</f>
        <v>3</v>
      </c>
      <c r="B46" s="17" t="str">
        <f>Source!F30</f>
        <v>09-08-001-1</v>
      </c>
      <c r="C46" s="17" t="str">
        <f>Source!G30</f>
        <v>Применительно: Демонтаж железобетонных столбов</v>
      </c>
      <c r="D46" s="71" t="str">
        <f>Source!H30</f>
        <v>100 столбов</v>
      </c>
      <c r="E46" s="72">
        <f>Source!I30</f>
        <v>3.07</v>
      </c>
      <c r="F46" s="73">
        <f>IF(Source!AK30&lt;&gt; 0, Source!AK30,Source!AL30 + Source!AM30 + Source!AO30)</f>
        <v>3978.49</v>
      </c>
      <c r="G46" s="74"/>
      <c r="H46" s="73"/>
      <c r="I46" s="74" t="str">
        <f>Source!BO30</f>
        <v>09-08-001-1</v>
      </c>
      <c r="J46" s="74"/>
      <c r="K46" s="73"/>
      <c r="L46" s="75"/>
      <c r="S46" s="52">
        <f>ROUND((Source!FX30/100)*((ROUND(Source!AF30*Source!I30, 2)+ROUND(Source!AE30*Source!I30, 2))), 2)</f>
        <v>1204.1500000000001</v>
      </c>
      <c r="T46" s="52">
        <f>Source!X30</f>
        <v>42469.97</v>
      </c>
      <c r="U46" s="52">
        <f>ROUND((Source!FY30/100)*((ROUND(Source!AF30*Source!I30, 2)+ROUND(Source!AE30*Source!I30, 2))), 2)</f>
        <v>802.76</v>
      </c>
      <c r="V46" s="52">
        <f>Source!Y30</f>
        <v>28313.31</v>
      </c>
    </row>
    <row r="47" spans="1:26" x14ac:dyDescent="0.2">
      <c r="C47" s="18" t="str">
        <f>"Объем: "&amp;Source!I30&amp;"=307/"&amp;"100"</f>
        <v>Объем: 3,07=307/100</v>
      </c>
    </row>
    <row r="48" spans="1:26" ht="14.25" x14ac:dyDescent="0.2">
      <c r="A48" s="16"/>
      <c r="B48" s="17"/>
      <c r="C48" s="17" t="s">
        <v>1206</v>
      </c>
      <c r="D48" s="71"/>
      <c r="E48" s="72"/>
      <c r="F48" s="73">
        <f>Source!AO30</f>
        <v>284.05</v>
      </c>
      <c r="G48" s="74" t="str">
        <f>Source!DG30</f>
        <v>*0,8</v>
      </c>
      <c r="H48" s="73">
        <f>ROUND(Source!AF30*Source!I30, 2)</f>
        <v>697.63</v>
      </c>
      <c r="I48" s="74"/>
      <c r="J48" s="74">
        <f>IF(Source!BA30&lt;&gt; 0, Source!BA30, 1)</f>
        <v>35.270000000000003</v>
      </c>
      <c r="K48" s="73">
        <f>Source!S30</f>
        <v>24605.3</v>
      </c>
      <c r="L48" s="75"/>
      <c r="R48" s="52">
        <f>H48</f>
        <v>697.63</v>
      </c>
    </row>
    <row r="49" spans="1:26" ht="14.25" x14ac:dyDescent="0.2">
      <c r="A49" s="16"/>
      <c r="B49" s="17"/>
      <c r="C49" s="17" t="s">
        <v>103</v>
      </c>
      <c r="D49" s="71"/>
      <c r="E49" s="72"/>
      <c r="F49" s="73">
        <f>Source!AM30</f>
        <v>3457.98</v>
      </c>
      <c r="G49" s="74" t="str">
        <f>Source!DE30</f>
        <v>*0,8</v>
      </c>
      <c r="H49" s="73">
        <f>ROUND(((((Source!ET30*0.8))-((Source!EU30*0.8)))+Source!AE30)*Source!I30, 2)</f>
        <v>8492.7900000000009</v>
      </c>
      <c r="I49" s="74"/>
      <c r="J49" s="74">
        <f>IF(Source!BB30&lt;&gt; 0, Source!BB30, 1)</f>
        <v>11.86</v>
      </c>
      <c r="K49" s="73">
        <f>Source!Q30</f>
        <v>100724.38</v>
      </c>
      <c r="L49" s="75"/>
    </row>
    <row r="50" spans="1:26" ht="14.25" x14ac:dyDescent="0.2">
      <c r="A50" s="16"/>
      <c r="B50" s="17"/>
      <c r="C50" s="17" t="s">
        <v>1212</v>
      </c>
      <c r="D50" s="71"/>
      <c r="E50" s="72"/>
      <c r="F50" s="73">
        <f>Source!AN30</f>
        <v>243.14</v>
      </c>
      <c r="G50" s="74" t="str">
        <f>Source!DF30</f>
        <v>*0,8</v>
      </c>
      <c r="H50" s="73">
        <f>ROUND(Source!AE30*Source!I30, 2)</f>
        <v>597.15</v>
      </c>
      <c r="I50" s="74"/>
      <c r="J50" s="74">
        <f>IF(Source!BS30&lt;&gt; 0, Source!BS30, 1)</f>
        <v>35.270000000000003</v>
      </c>
      <c r="K50" s="73">
        <f>Source!R30</f>
        <v>21061.33</v>
      </c>
      <c r="L50" s="75"/>
      <c r="R50" s="52">
        <f>H50</f>
        <v>597.15</v>
      </c>
    </row>
    <row r="51" spans="1:26" ht="14.25" x14ac:dyDescent="0.2">
      <c r="A51" s="16"/>
      <c r="B51" s="17"/>
      <c r="C51" s="17" t="s">
        <v>1207</v>
      </c>
      <c r="D51" s="71" t="s">
        <v>1208</v>
      </c>
      <c r="E51" s="72">
        <f>Source!BZ30</f>
        <v>93</v>
      </c>
      <c r="F51" s="76"/>
      <c r="G51" s="74"/>
      <c r="H51" s="73">
        <f>SUM(S46:S53)</f>
        <v>1204.1500000000001</v>
      </c>
      <c r="I51" s="77"/>
      <c r="J51" s="17">
        <f>Source!AT30</f>
        <v>93</v>
      </c>
      <c r="K51" s="73">
        <f>SUM(T46:T53)</f>
        <v>42469.97</v>
      </c>
      <c r="L51" s="75"/>
    </row>
    <row r="52" spans="1:26" ht="14.25" x14ac:dyDescent="0.2">
      <c r="A52" s="16"/>
      <c r="B52" s="17"/>
      <c r="C52" s="17" t="s">
        <v>1209</v>
      </c>
      <c r="D52" s="71" t="s">
        <v>1208</v>
      </c>
      <c r="E52" s="72">
        <f>Source!CA30</f>
        <v>62</v>
      </c>
      <c r="F52" s="76"/>
      <c r="G52" s="74"/>
      <c r="H52" s="73">
        <f>SUM(U46:U53)</f>
        <v>802.76</v>
      </c>
      <c r="I52" s="77"/>
      <c r="J52" s="17">
        <f>Source!AU30</f>
        <v>62</v>
      </c>
      <c r="K52" s="73">
        <f>SUM(V46:V53)</f>
        <v>28313.31</v>
      </c>
      <c r="L52" s="75"/>
    </row>
    <row r="53" spans="1:26" ht="14.25" x14ac:dyDescent="0.2">
      <c r="A53" s="20"/>
      <c r="B53" s="21"/>
      <c r="C53" s="21" t="s">
        <v>1210</v>
      </c>
      <c r="D53" s="78" t="s">
        <v>1211</v>
      </c>
      <c r="E53" s="79">
        <f>Source!AQ30</f>
        <v>35.64</v>
      </c>
      <c r="F53" s="80"/>
      <c r="G53" s="81" t="str">
        <f>Source!DI30</f>
        <v>*0,8</v>
      </c>
      <c r="H53" s="80"/>
      <c r="I53" s="81"/>
      <c r="J53" s="81"/>
      <c r="K53" s="80"/>
      <c r="L53" s="82">
        <f>Source!U30</f>
        <v>87.531840000000003</v>
      </c>
    </row>
    <row r="54" spans="1:26" ht="15" x14ac:dyDescent="0.2">
      <c r="G54" s="83">
        <f>ROUND(Source!AC30*Source!I30, 2)+ROUND(Source!AF30*Source!I30, 2)+ROUND(((((Source!ET30*0.8))-((Source!EU30*0.8)))+Source!AE30)*Source!I30, 2)+SUM(H51:H52)</f>
        <v>11197.33</v>
      </c>
      <c r="H54" s="83"/>
      <c r="J54" s="83">
        <f>Source!O30+SUM(K51:K52)</f>
        <v>196112.96</v>
      </c>
      <c r="K54" s="83"/>
      <c r="L54" s="84">
        <f>Source!U30</f>
        <v>87.531840000000003</v>
      </c>
      <c r="O54" s="85">
        <f>G54</f>
        <v>11197.33</v>
      </c>
      <c r="P54" s="85">
        <f>J54</f>
        <v>196112.96</v>
      </c>
      <c r="Q54" s="85">
        <f>L54</f>
        <v>87.531840000000003</v>
      </c>
      <c r="W54" s="52">
        <f>IF(Source!BI30&lt;=1,G54, 0)</f>
        <v>11197.33</v>
      </c>
      <c r="X54" s="52">
        <f>IF(Source!BI30=2,G54, 0)</f>
        <v>0</v>
      </c>
      <c r="Y54" s="52">
        <f>IF(Source!BI30=3,G54, 0)</f>
        <v>0</v>
      </c>
      <c r="Z54" s="52">
        <f>IF(Source!BI30=4,G54, 0)</f>
        <v>0</v>
      </c>
    </row>
    <row r="55" spans="1:26" ht="42.75" x14ac:dyDescent="0.2">
      <c r="A55" s="16" t="str">
        <f>Source!E33</f>
        <v>4</v>
      </c>
      <c r="B55" s="17" t="str">
        <f>Source!F33</f>
        <v>07-01-054-7</v>
      </c>
      <c r="C55" s="17" t="str">
        <f>Source!G33</f>
        <v>Установка металлических оград по железобетонным столбам без цоколя из сетки высотой до 1,2 м. Демонтаж.</v>
      </c>
      <c r="D55" s="71" t="str">
        <f>Source!H33</f>
        <v>100 м ограды</v>
      </c>
      <c r="E55" s="72">
        <f>Source!I33</f>
        <v>6.1449999999999996</v>
      </c>
      <c r="F55" s="73">
        <f>IF(Source!AK33&lt;&gt; 0, Source!AK33,Source!AL33 + Source!AM33 + Source!AO33)</f>
        <v>7938.37</v>
      </c>
      <c r="G55" s="74"/>
      <c r="H55" s="73"/>
      <c r="I55" s="74" t="str">
        <f>Source!BO33</f>
        <v>07-01-054-7</v>
      </c>
      <c r="J55" s="74"/>
      <c r="K55" s="73"/>
      <c r="L55" s="75"/>
      <c r="S55" s="52">
        <f>ROUND((Source!FX33/100)*((ROUND(Source!AF33*Source!I33, 2)+ROUND(Source!AE33*Source!I33, 2))), 2)</f>
        <v>8991.9</v>
      </c>
      <c r="T55" s="52">
        <f>Source!X33</f>
        <v>317144.05</v>
      </c>
      <c r="U55" s="52">
        <f>ROUND((Source!FY33/100)*((ROUND(Source!AF33*Source!I33, 2)+ROUND(Source!AE33*Source!I33, 2))), 2)</f>
        <v>5967.35</v>
      </c>
      <c r="V55" s="52">
        <f>Source!Y33</f>
        <v>210468.32</v>
      </c>
    </row>
    <row r="56" spans="1:26" x14ac:dyDescent="0.2">
      <c r="C56" s="18" t="str">
        <f>"Объем: "&amp;Source!I33&amp;"=614,5/"&amp;"100"</f>
        <v>Объем: 6,145=614,5/100</v>
      </c>
    </row>
    <row r="57" spans="1:26" ht="14.25" x14ac:dyDescent="0.2">
      <c r="A57" s="16"/>
      <c r="B57" s="17"/>
      <c r="C57" s="17" t="s">
        <v>1206</v>
      </c>
      <c r="D57" s="71"/>
      <c r="E57" s="72"/>
      <c r="F57" s="73">
        <f>Source!AO33</f>
        <v>1655.71</v>
      </c>
      <c r="G57" s="74" t="str">
        <f>Source!DG33</f>
        <v>*0,7</v>
      </c>
      <c r="H57" s="73">
        <f>ROUND(Source!AF33*Source!I33, 2)</f>
        <v>7122.06</v>
      </c>
      <c r="I57" s="74"/>
      <c r="J57" s="74">
        <f>IF(Source!BA33&lt;&gt; 0, Source!BA33, 1)</f>
        <v>35.270000000000003</v>
      </c>
      <c r="K57" s="73">
        <f>Source!S33</f>
        <v>251194.88</v>
      </c>
      <c r="L57" s="75"/>
      <c r="R57" s="52">
        <f>H57</f>
        <v>7122.06</v>
      </c>
    </row>
    <row r="58" spans="1:26" ht="14.25" x14ac:dyDescent="0.2">
      <c r="A58" s="16"/>
      <c r="B58" s="17"/>
      <c r="C58" s="17" t="s">
        <v>103</v>
      </c>
      <c r="D58" s="71"/>
      <c r="E58" s="72"/>
      <c r="F58" s="73">
        <f>Source!AM33</f>
        <v>2690.65</v>
      </c>
      <c r="G58" s="74" t="str">
        <f>Source!DE33</f>
        <v>*0,7</v>
      </c>
      <c r="H58" s="73">
        <f>ROUND(((((Source!ET33*0.7))-((Source!EU33*0.7)))+Source!AE33)*Source!I33, 2)</f>
        <v>11573.82</v>
      </c>
      <c r="I58" s="74"/>
      <c r="J58" s="74">
        <f>IF(Source!BB33&lt;&gt; 0, Source!BB33, 1)</f>
        <v>11.59</v>
      </c>
      <c r="K58" s="73">
        <f>Source!Q33</f>
        <v>134140.26999999999</v>
      </c>
      <c r="L58" s="75"/>
    </row>
    <row r="59" spans="1:26" ht="14.25" x14ac:dyDescent="0.2">
      <c r="A59" s="16"/>
      <c r="B59" s="17"/>
      <c r="C59" s="17" t="s">
        <v>1212</v>
      </c>
      <c r="D59" s="71"/>
      <c r="E59" s="72"/>
      <c r="F59" s="73">
        <f>Source!AN33</f>
        <v>244.66</v>
      </c>
      <c r="G59" s="74" t="str">
        <f>Source!DF33</f>
        <v>*0,7</v>
      </c>
      <c r="H59" s="73">
        <f>ROUND(Source!AE33*Source!I33, 2)</f>
        <v>1052.3900000000001</v>
      </c>
      <c r="I59" s="74"/>
      <c r="J59" s="74">
        <f>IF(Source!BS33&lt;&gt; 0, Source!BS33, 1)</f>
        <v>35.270000000000003</v>
      </c>
      <c r="K59" s="73">
        <f>Source!R33</f>
        <v>37117.89</v>
      </c>
      <c r="L59" s="75"/>
      <c r="R59" s="52">
        <f>H59</f>
        <v>1052.3900000000001</v>
      </c>
    </row>
    <row r="60" spans="1:26" ht="14.25" x14ac:dyDescent="0.2">
      <c r="A60" s="16"/>
      <c r="B60" s="17"/>
      <c r="C60" s="17" t="s">
        <v>1207</v>
      </c>
      <c r="D60" s="71" t="s">
        <v>1208</v>
      </c>
      <c r="E60" s="72">
        <f>Source!BZ33</f>
        <v>110</v>
      </c>
      <c r="F60" s="76"/>
      <c r="G60" s="74"/>
      <c r="H60" s="73">
        <f>SUM(S55:S62)</f>
        <v>8991.9</v>
      </c>
      <c r="I60" s="77"/>
      <c r="J60" s="17">
        <f>Source!AT33</f>
        <v>110</v>
      </c>
      <c r="K60" s="73">
        <f>SUM(T55:T62)</f>
        <v>317144.05</v>
      </c>
      <c r="L60" s="75"/>
    </row>
    <row r="61" spans="1:26" ht="14.25" x14ac:dyDescent="0.2">
      <c r="A61" s="16"/>
      <c r="B61" s="17"/>
      <c r="C61" s="17" t="s">
        <v>1209</v>
      </c>
      <c r="D61" s="71" t="s">
        <v>1208</v>
      </c>
      <c r="E61" s="72">
        <f>Source!CA33</f>
        <v>73</v>
      </c>
      <c r="F61" s="76"/>
      <c r="G61" s="74"/>
      <c r="H61" s="73">
        <f>SUM(U55:U62)</f>
        <v>5967.35</v>
      </c>
      <c r="I61" s="77"/>
      <c r="J61" s="17">
        <f>Source!AU33</f>
        <v>73</v>
      </c>
      <c r="K61" s="73">
        <f>SUM(V55:V62)</f>
        <v>210468.32</v>
      </c>
      <c r="L61" s="75"/>
    </row>
    <row r="62" spans="1:26" ht="14.25" x14ac:dyDescent="0.2">
      <c r="A62" s="20"/>
      <c r="B62" s="21"/>
      <c r="C62" s="21" t="s">
        <v>1210</v>
      </c>
      <c r="D62" s="78" t="s">
        <v>1211</v>
      </c>
      <c r="E62" s="79">
        <f>Source!AQ33</f>
        <v>190.75</v>
      </c>
      <c r="F62" s="80"/>
      <c r="G62" s="81" t="str">
        <f>Source!DI33</f>
        <v>*0,7</v>
      </c>
      <c r="H62" s="80"/>
      <c r="I62" s="81"/>
      <c r="J62" s="81"/>
      <c r="K62" s="80"/>
      <c r="L62" s="82">
        <f>Source!U33</f>
        <v>820.51112499999999</v>
      </c>
    </row>
    <row r="63" spans="1:26" ht="15" x14ac:dyDescent="0.2">
      <c r="G63" s="83">
        <f>ROUND(Source!AC33*Source!I33, 2)+ROUND(Source!AF33*Source!I33, 2)+ROUND(((((Source!ET33*0.7))-((Source!EU33*0.7)))+Source!AE33)*Source!I33, 2)+SUM(H60:H61)</f>
        <v>33655.130000000005</v>
      </c>
      <c r="H63" s="83"/>
      <c r="J63" s="83">
        <f>Source!O33+SUM(K60:K61)</f>
        <v>912947.52</v>
      </c>
      <c r="K63" s="83"/>
      <c r="L63" s="84">
        <f>Source!U33</f>
        <v>820.51112499999999</v>
      </c>
      <c r="O63" s="85">
        <f>G63</f>
        <v>33655.130000000005</v>
      </c>
      <c r="P63" s="85">
        <f>J63</f>
        <v>912947.52</v>
      </c>
      <c r="Q63" s="85">
        <f>L63</f>
        <v>820.51112499999999</v>
      </c>
      <c r="W63" s="52">
        <f>IF(Source!BI33&lt;=1,G63, 0)</f>
        <v>33655.130000000005</v>
      </c>
      <c r="X63" s="52">
        <f>IF(Source!BI33=2,G63, 0)</f>
        <v>0</v>
      </c>
      <c r="Y63" s="52">
        <f>IF(Source!BI33=3,G63, 0)</f>
        <v>0</v>
      </c>
      <c r="Z63" s="52">
        <f>IF(Source!BI33=4,G63, 0)</f>
        <v>0</v>
      </c>
    </row>
    <row r="64" spans="1:26" ht="57" x14ac:dyDescent="0.2">
      <c r="A64" s="16" t="str">
        <f>Source!E35</f>
        <v>5</v>
      </c>
      <c r="B64" s="17" t="str">
        <f>Source!F35</f>
        <v>46-06-001-4</v>
      </c>
      <c r="C64" s="17" t="str">
        <f>Source!G35</f>
        <v>Разборка надземной части без сохранения годных материалов деревянных зданий любой этажности</v>
      </c>
      <c r="D64" s="71" t="str">
        <f>Source!H35</f>
        <v>10 м3 строительного объема</v>
      </c>
      <c r="E64" s="72">
        <f>Source!I35</f>
        <v>3.15</v>
      </c>
      <c r="F64" s="73">
        <f>IF(Source!AK35&lt;&gt; 0, Source!AK35,Source!AL35 + Source!AM35 + Source!AO35)</f>
        <v>98.97</v>
      </c>
      <c r="G64" s="74"/>
      <c r="H64" s="73"/>
      <c r="I64" s="74" t="str">
        <f>Source!BO35</f>
        <v>46-06-001-4</v>
      </c>
      <c r="J64" s="74"/>
      <c r="K64" s="73"/>
      <c r="L64" s="75"/>
      <c r="S64" s="52">
        <f>ROUND((Source!FX35/100)*((ROUND(Source!AF35*Source!I35, 2)+ROUND(Source!AE35*Source!I35, 2))), 2)</f>
        <v>251.73</v>
      </c>
      <c r="T64" s="52">
        <f>Source!X35</f>
        <v>8878.7199999999993</v>
      </c>
      <c r="U64" s="52">
        <f>ROUND((Source!FY35/100)*((ROUND(Source!AF35*Source!I35, 2)+ROUND(Source!AE35*Source!I35, 2))), 2)</f>
        <v>143.85</v>
      </c>
      <c r="V64" s="52">
        <f>Source!Y35</f>
        <v>5073.5600000000004</v>
      </c>
    </row>
    <row r="65" spans="1:33" x14ac:dyDescent="0.2">
      <c r="C65" s="18" t="str">
        <f>"Объем: "&amp;Source!I35&amp;"=31,5/"&amp;"10"</f>
        <v>Объем: 3,15=31,5/10</v>
      </c>
    </row>
    <row r="66" spans="1:33" ht="14.25" x14ac:dyDescent="0.2">
      <c r="A66" s="16"/>
      <c r="B66" s="17"/>
      <c r="C66" s="17" t="s">
        <v>1206</v>
      </c>
      <c r="D66" s="71"/>
      <c r="E66" s="72"/>
      <c r="F66" s="73">
        <f>Source!AO35</f>
        <v>86.41</v>
      </c>
      <c r="G66" s="74" t="str">
        <f>Source!DG35</f>
        <v/>
      </c>
      <c r="H66" s="73">
        <f>ROUND(Source!AF35*Source!I35, 2)</f>
        <v>272.19</v>
      </c>
      <c r="I66" s="74"/>
      <c r="J66" s="74">
        <f>IF(Source!BA35&lt;&gt; 0, Source!BA35, 1)</f>
        <v>35.270000000000003</v>
      </c>
      <c r="K66" s="73">
        <f>Source!S35</f>
        <v>9600.19</v>
      </c>
      <c r="L66" s="75"/>
      <c r="R66" s="52">
        <f>H66</f>
        <v>272.19</v>
      </c>
    </row>
    <row r="67" spans="1:33" ht="14.25" x14ac:dyDescent="0.2">
      <c r="A67" s="16"/>
      <c r="B67" s="17"/>
      <c r="C67" s="17" t="s">
        <v>103</v>
      </c>
      <c r="D67" s="71"/>
      <c r="E67" s="72"/>
      <c r="F67" s="73">
        <f>Source!AM35</f>
        <v>12.56</v>
      </c>
      <c r="G67" s="74" t="str">
        <f>Source!DE35</f>
        <v/>
      </c>
      <c r="H67" s="73">
        <f>ROUND((((Source!ET35)-(Source!EU35))+Source!AE35)*Source!I35, 2)</f>
        <v>39.56</v>
      </c>
      <c r="I67" s="74"/>
      <c r="J67" s="74">
        <f>IF(Source!BB35&lt;&gt; 0, Source!BB35, 1)</f>
        <v>13.56</v>
      </c>
      <c r="K67" s="73">
        <f>Source!Q35</f>
        <v>536.49</v>
      </c>
      <c r="L67" s="75"/>
    </row>
    <row r="68" spans="1:33" ht="14.25" x14ac:dyDescent="0.2">
      <c r="A68" s="16"/>
      <c r="B68" s="17"/>
      <c r="C68" s="17" t="s">
        <v>1212</v>
      </c>
      <c r="D68" s="71"/>
      <c r="E68" s="72"/>
      <c r="F68" s="73">
        <f>Source!AN35</f>
        <v>1.41</v>
      </c>
      <c r="G68" s="74" t="str">
        <f>Source!DF35</f>
        <v/>
      </c>
      <c r="H68" s="73">
        <f>ROUND(Source!AE35*Source!I35, 2)</f>
        <v>4.4400000000000004</v>
      </c>
      <c r="I68" s="74"/>
      <c r="J68" s="74">
        <f>IF(Source!BS35&lt;&gt; 0, Source!BS35, 1)</f>
        <v>35.270000000000003</v>
      </c>
      <c r="K68" s="73">
        <f>Source!R35</f>
        <v>156.65</v>
      </c>
      <c r="L68" s="75"/>
      <c r="R68" s="52">
        <f>H68</f>
        <v>4.4400000000000004</v>
      </c>
    </row>
    <row r="69" spans="1:33" ht="14.25" x14ac:dyDescent="0.2">
      <c r="A69" s="16"/>
      <c r="B69" s="17"/>
      <c r="C69" s="17" t="s">
        <v>1207</v>
      </c>
      <c r="D69" s="71" t="s">
        <v>1208</v>
      </c>
      <c r="E69" s="72">
        <f>Source!BZ35</f>
        <v>91</v>
      </c>
      <c r="F69" s="76"/>
      <c r="G69" s="74"/>
      <c r="H69" s="73">
        <f>SUM(S64:S71)</f>
        <v>251.73</v>
      </c>
      <c r="I69" s="77"/>
      <c r="J69" s="17">
        <f>Source!AT35</f>
        <v>91</v>
      </c>
      <c r="K69" s="73">
        <f>SUM(T64:T71)</f>
        <v>8878.7199999999993</v>
      </c>
      <c r="L69" s="75"/>
    </row>
    <row r="70" spans="1:33" ht="14.25" x14ac:dyDescent="0.2">
      <c r="A70" s="16"/>
      <c r="B70" s="17"/>
      <c r="C70" s="17" t="s">
        <v>1209</v>
      </c>
      <c r="D70" s="71" t="s">
        <v>1208</v>
      </c>
      <c r="E70" s="72">
        <f>Source!CA35</f>
        <v>52</v>
      </c>
      <c r="F70" s="76"/>
      <c r="G70" s="74"/>
      <c r="H70" s="73">
        <f>SUM(U64:U71)</f>
        <v>143.85</v>
      </c>
      <c r="I70" s="77"/>
      <c r="J70" s="17">
        <f>Source!AU35</f>
        <v>52</v>
      </c>
      <c r="K70" s="73">
        <f>SUM(V64:V71)</f>
        <v>5073.5600000000004</v>
      </c>
      <c r="L70" s="75"/>
    </row>
    <row r="71" spans="1:33" ht="14.25" x14ac:dyDescent="0.2">
      <c r="A71" s="20"/>
      <c r="B71" s="21"/>
      <c r="C71" s="21" t="s">
        <v>1210</v>
      </c>
      <c r="D71" s="78" t="s">
        <v>1211</v>
      </c>
      <c r="E71" s="79">
        <f>Source!AQ35</f>
        <v>11.63</v>
      </c>
      <c r="F71" s="80"/>
      <c r="G71" s="81" t="str">
        <f>Source!DI35</f>
        <v/>
      </c>
      <c r="H71" s="80"/>
      <c r="I71" s="81"/>
      <c r="J71" s="81"/>
      <c r="K71" s="80"/>
      <c r="L71" s="82">
        <f>Source!U35</f>
        <v>36.634500000000003</v>
      </c>
    </row>
    <row r="72" spans="1:33" ht="15" x14ac:dyDescent="0.2">
      <c r="G72" s="83">
        <f>ROUND(Source!AC35*Source!I35, 2)+ROUND(Source!AF35*Source!I35, 2)+ROUND((((Source!ET35)-(Source!EU35))+Source!AE35)*Source!I35, 2)+SUM(H69:H70)</f>
        <v>707.32999999999993</v>
      </c>
      <c r="H72" s="83"/>
      <c r="J72" s="83">
        <f>Source!O35+SUM(K69:K70)</f>
        <v>24088.959999999999</v>
      </c>
      <c r="K72" s="83"/>
      <c r="L72" s="84">
        <f>Source!U35</f>
        <v>36.634500000000003</v>
      </c>
      <c r="O72" s="85">
        <f>G72</f>
        <v>707.32999999999993</v>
      </c>
      <c r="P72" s="85">
        <f>J72</f>
        <v>24088.959999999999</v>
      </c>
      <c r="Q72" s="85">
        <f>L72</f>
        <v>36.634500000000003</v>
      </c>
      <c r="W72" s="52">
        <f>IF(Source!BI35&lt;=1,G72, 0)</f>
        <v>707.32999999999993</v>
      </c>
      <c r="X72" s="52">
        <f>IF(Source!BI35=2,G72, 0)</f>
        <v>0</v>
      </c>
      <c r="Y72" s="52">
        <f>IF(Source!BI35=3,G72, 0)</f>
        <v>0</v>
      </c>
      <c r="Z72" s="52">
        <f>IF(Source!BI35=4,G72, 0)</f>
        <v>0</v>
      </c>
    </row>
    <row r="74" spans="1:33" ht="15" x14ac:dyDescent="0.2">
      <c r="A74" s="86" t="str">
        <f>CONCATENATE("Итого по разделу: ", Source!G38)</f>
        <v>Итого по разделу: Подготовительные работы</v>
      </c>
      <c r="B74" s="86"/>
      <c r="C74" s="86"/>
      <c r="D74" s="86"/>
      <c r="E74" s="86"/>
      <c r="F74" s="86"/>
      <c r="G74" s="83">
        <f>SUM(O30:O73)</f>
        <v>45720.310000000005</v>
      </c>
      <c r="H74" s="64"/>
      <c r="I74" s="87"/>
      <c r="J74" s="83">
        <f>SUM(P30:P73)</f>
        <v>1138754.3500000001</v>
      </c>
      <c r="K74" s="64"/>
      <c r="L74" s="84">
        <f>SUM(Q30:Q73)</f>
        <v>953.91946500000006</v>
      </c>
      <c r="AG74" s="88" t="str">
        <f>CONCATENATE("Итого по разделу: ", Source!G38)</f>
        <v>Итого по разделу: Подготовительные работы</v>
      </c>
    </row>
    <row r="76" spans="1:33" ht="14.25" x14ac:dyDescent="0.2">
      <c r="C76" s="17" t="str">
        <f>Source!H67</f>
        <v>ОЗП</v>
      </c>
      <c r="J76" s="65">
        <f>Source!F67</f>
        <v>287831.81</v>
      </c>
      <c r="K76" s="65"/>
    </row>
    <row r="77" spans="1:33" ht="14.25" x14ac:dyDescent="0.2">
      <c r="C77" s="17" t="str">
        <f>Source!H68</f>
        <v>ЭММ, в т.ч. ЗПМ</v>
      </c>
      <c r="J77" s="65">
        <f>Source!F68</f>
        <v>235413.74</v>
      </c>
      <c r="K77" s="65"/>
    </row>
    <row r="78" spans="1:33" ht="14.25" x14ac:dyDescent="0.2">
      <c r="C78" s="17" t="str">
        <f>Source!H69</f>
        <v>Стоимость материалов</v>
      </c>
      <c r="J78" s="65">
        <f>Source!F69</f>
        <v>0</v>
      </c>
      <c r="K78" s="65"/>
    </row>
    <row r="79" spans="1:33" ht="14.25" x14ac:dyDescent="0.2">
      <c r="C79" s="17" t="str">
        <f>Source!H70</f>
        <v>НР</v>
      </c>
      <c r="J79" s="65">
        <f>Source!F70</f>
        <v>370656.72</v>
      </c>
      <c r="K79" s="65"/>
    </row>
    <row r="80" spans="1:33" ht="14.25" x14ac:dyDescent="0.2">
      <c r="C80" s="17" t="str">
        <f>Source!H71</f>
        <v>СП</v>
      </c>
      <c r="J80" s="65">
        <f>Source!F71</f>
        <v>244852.08</v>
      </c>
      <c r="K80" s="65"/>
    </row>
    <row r="81" spans="1:31" ht="14.25" x14ac:dyDescent="0.2">
      <c r="C81" s="17" t="str">
        <f>Source!H72</f>
        <v>Всего</v>
      </c>
      <c r="J81" s="65">
        <f>Source!F72</f>
        <v>1138754.3500000001</v>
      </c>
      <c r="K81" s="65"/>
    </row>
    <row r="82" spans="1:31" ht="14.25" x14ac:dyDescent="0.2">
      <c r="C82" s="17" t="str">
        <f>Source!H73</f>
        <v>НДС 20%</v>
      </c>
      <c r="J82" s="65">
        <f>Source!F73</f>
        <v>227750.87</v>
      </c>
      <c r="K82" s="65"/>
    </row>
    <row r="83" spans="1:31" ht="14.25" x14ac:dyDescent="0.2">
      <c r="C83" s="17" t="str">
        <f>Source!H74</f>
        <v>Итого с НДС</v>
      </c>
      <c r="J83" s="65">
        <f>Source!F74</f>
        <v>1366505.22</v>
      </c>
      <c r="K83" s="65"/>
    </row>
    <row r="86" spans="1:31" ht="16.5" x14ac:dyDescent="0.2">
      <c r="A86" s="69" t="str">
        <f>CONCATENATE("Раздел: ", Source!G76)</f>
        <v>Раздел: Ограждение территории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AE86" s="70" t="str">
        <f>CONCATENATE("Раздел: ", Source!G76)</f>
        <v>Раздел: Ограждение территории</v>
      </c>
    </row>
    <row r="87" spans="1:31" ht="42.75" x14ac:dyDescent="0.2">
      <c r="A87" s="16" t="str">
        <f>Source!E94</f>
        <v>6</v>
      </c>
      <c r="B87" s="17" t="str">
        <f>Source!F94</f>
        <v>07-01-054-8</v>
      </c>
      <c r="C87" s="17" t="str">
        <f>Source!G94</f>
        <v>Установка металлических оград по железобетонным столбам без цоколя из сетки высотой до 1,7 м</v>
      </c>
      <c r="D87" s="71" t="str">
        <f>Source!H94</f>
        <v>100 м ограды</v>
      </c>
      <c r="E87" s="72">
        <f>Source!I94</f>
        <v>6.2350000000000003</v>
      </c>
      <c r="F87" s="73">
        <f>IF(Source!AK94&lt;&gt; 0, Source!AK94,Source!AL94 + Source!AM94 + Source!AO94)</f>
        <v>9209.24</v>
      </c>
      <c r="G87" s="74"/>
      <c r="H87" s="73"/>
      <c r="I87" s="74" t="str">
        <f>Source!BO94</f>
        <v>07-01-054-8</v>
      </c>
      <c r="J87" s="74"/>
      <c r="K87" s="73"/>
      <c r="L87" s="75"/>
      <c r="S87" s="52">
        <f>ROUND((Source!FX94/100)*((ROUND(Source!AF94*Source!I94, 2)+ROUND(Source!AE94*Source!I94, 2))), 2)</f>
        <v>14732.47</v>
      </c>
      <c r="T87" s="52">
        <f>Source!X94</f>
        <v>519614.21</v>
      </c>
      <c r="U87" s="52">
        <f>ROUND((Source!FY94/100)*((ROUND(Source!AF94*Source!I94, 2)+ROUND(Source!AE94*Source!I94, 2))), 2)</f>
        <v>9777</v>
      </c>
      <c r="V87" s="52">
        <f>Source!Y94</f>
        <v>344834.88</v>
      </c>
    </row>
    <row r="88" spans="1:31" x14ac:dyDescent="0.2">
      <c r="C88" s="18" t="str">
        <f>"Объем: "&amp;Source!I94&amp;"=623,5/"&amp;"100"</f>
        <v>Объем: 6,235=623,5/100</v>
      </c>
    </row>
    <row r="89" spans="1:31" ht="14.25" x14ac:dyDescent="0.2">
      <c r="A89" s="16"/>
      <c r="B89" s="17"/>
      <c r="C89" s="17" t="s">
        <v>1206</v>
      </c>
      <c r="D89" s="71"/>
      <c r="E89" s="72"/>
      <c r="F89" s="73">
        <f>Source!AO94</f>
        <v>1901.7</v>
      </c>
      <c r="G89" s="74" t="str">
        <f>Source!DG94</f>
        <v/>
      </c>
      <c r="H89" s="73">
        <f>ROUND(Source!AF94*Source!I94, 2)</f>
        <v>11857.1</v>
      </c>
      <c r="I89" s="74"/>
      <c r="J89" s="74">
        <f>IF(Source!BA94&lt;&gt; 0, Source!BA94, 1)</f>
        <v>35.270000000000003</v>
      </c>
      <c r="K89" s="73">
        <f>Source!S94</f>
        <v>418199.9</v>
      </c>
      <c r="L89" s="75"/>
      <c r="R89" s="52">
        <f>H89</f>
        <v>11857.1</v>
      </c>
    </row>
    <row r="90" spans="1:31" ht="14.25" x14ac:dyDescent="0.2">
      <c r="A90" s="16"/>
      <c r="B90" s="17"/>
      <c r="C90" s="17" t="s">
        <v>103</v>
      </c>
      <c r="D90" s="71"/>
      <c r="E90" s="72"/>
      <c r="F90" s="73">
        <f>Source!AM94</f>
        <v>2728.21</v>
      </c>
      <c r="G90" s="74" t="str">
        <f>Source!DE94</f>
        <v/>
      </c>
      <c r="H90" s="73">
        <f>ROUND((((Source!ET94)-(Source!EU94))+Source!AE94)*Source!I94, 2)</f>
        <v>17010.39</v>
      </c>
      <c r="I90" s="74"/>
      <c r="J90" s="74">
        <f>IF(Source!BB94&lt;&gt; 0, Source!BB94, 1)</f>
        <v>11.61</v>
      </c>
      <c r="K90" s="73">
        <f>Source!Q94</f>
        <v>197490.62</v>
      </c>
      <c r="L90" s="75"/>
    </row>
    <row r="91" spans="1:31" ht="14.25" x14ac:dyDescent="0.2">
      <c r="A91" s="16"/>
      <c r="B91" s="17"/>
      <c r="C91" s="17" t="s">
        <v>1212</v>
      </c>
      <c r="D91" s="71"/>
      <c r="E91" s="72"/>
      <c r="F91" s="73">
        <f>Source!AN94</f>
        <v>246.36</v>
      </c>
      <c r="G91" s="74" t="str">
        <f>Source!DF94</f>
        <v/>
      </c>
      <c r="H91" s="73">
        <f>ROUND(Source!AE94*Source!I94, 2)</f>
        <v>1536.05</v>
      </c>
      <c r="I91" s="74"/>
      <c r="J91" s="74">
        <f>IF(Source!BS94&lt;&gt; 0, Source!BS94, 1)</f>
        <v>35.270000000000003</v>
      </c>
      <c r="K91" s="73">
        <f>Source!R94</f>
        <v>54176.65</v>
      </c>
      <c r="L91" s="75"/>
      <c r="R91" s="52">
        <f>H91</f>
        <v>1536.05</v>
      </c>
    </row>
    <row r="92" spans="1:31" ht="14.25" x14ac:dyDescent="0.2">
      <c r="A92" s="16"/>
      <c r="B92" s="17"/>
      <c r="C92" s="17" t="s">
        <v>1213</v>
      </c>
      <c r="D92" s="71"/>
      <c r="E92" s="72"/>
      <c r="F92" s="73">
        <f>Source!AL94</f>
        <v>4579.33</v>
      </c>
      <c r="G92" s="74" t="str">
        <f>Source!DD94</f>
        <v/>
      </c>
      <c r="H92" s="73">
        <f>ROUND(Source!AC94*Source!I94, 2)</f>
        <v>28552.12</v>
      </c>
      <c r="I92" s="74"/>
      <c r="J92" s="74">
        <f>IF(Source!BC94&lt;&gt; 0, Source!BC94, 1)</f>
        <v>10.57</v>
      </c>
      <c r="K92" s="73">
        <f>Source!P94</f>
        <v>301795.94</v>
      </c>
      <c r="L92" s="75"/>
    </row>
    <row r="93" spans="1:31" ht="14.25" x14ac:dyDescent="0.2">
      <c r="A93" s="16"/>
      <c r="B93" s="17"/>
      <c r="C93" s="17" t="s">
        <v>1207</v>
      </c>
      <c r="D93" s="71" t="s">
        <v>1208</v>
      </c>
      <c r="E93" s="72">
        <f>Source!BZ94</f>
        <v>110</v>
      </c>
      <c r="F93" s="76"/>
      <c r="G93" s="74"/>
      <c r="H93" s="73">
        <f>SUM(S87:S96)</f>
        <v>14732.47</v>
      </c>
      <c r="I93" s="77"/>
      <c r="J93" s="17">
        <f>Source!AT94</f>
        <v>110</v>
      </c>
      <c r="K93" s="73">
        <f>SUM(T87:T96)</f>
        <v>519614.21</v>
      </c>
      <c r="L93" s="75"/>
    </row>
    <row r="94" spans="1:31" ht="14.25" x14ac:dyDescent="0.2">
      <c r="A94" s="16"/>
      <c r="B94" s="17"/>
      <c r="C94" s="17" t="s">
        <v>1209</v>
      </c>
      <c r="D94" s="71" t="s">
        <v>1208</v>
      </c>
      <c r="E94" s="72">
        <f>Source!CA94</f>
        <v>73</v>
      </c>
      <c r="F94" s="76"/>
      <c r="G94" s="74"/>
      <c r="H94" s="73">
        <f>SUM(U87:U96)</f>
        <v>9777</v>
      </c>
      <c r="I94" s="77"/>
      <c r="J94" s="17">
        <f>Source!AU94</f>
        <v>73</v>
      </c>
      <c r="K94" s="73">
        <f>SUM(V87:V96)</f>
        <v>344834.88</v>
      </c>
      <c r="L94" s="75"/>
    </row>
    <row r="95" spans="1:31" ht="14.25" x14ac:dyDescent="0.2">
      <c r="A95" s="16"/>
      <c r="B95" s="17"/>
      <c r="C95" s="17" t="s">
        <v>1210</v>
      </c>
      <c r="D95" s="71" t="s">
        <v>1211</v>
      </c>
      <c r="E95" s="72">
        <f>Source!AQ94</f>
        <v>219.09</v>
      </c>
      <c r="F95" s="73"/>
      <c r="G95" s="74" t="str">
        <f>Source!DI94</f>
        <v/>
      </c>
      <c r="H95" s="73"/>
      <c r="I95" s="74"/>
      <c r="J95" s="74"/>
      <c r="K95" s="73"/>
      <c r="L95" s="89">
        <f>Source!U94</f>
        <v>1366.0261500000001</v>
      </c>
    </row>
    <row r="96" spans="1:31" ht="14.25" x14ac:dyDescent="0.2">
      <c r="A96" s="90" t="str">
        <f>Source!E95</f>
        <v>6,1</v>
      </c>
      <c r="B96" s="90" t="str">
        <f>Source!F95</f>
        <v>403-9120</v>
      </c>
      <c r="C96" s="90" t="str">
        <f>Source!G95</f>
        <v>Столбы бетонные</v>
      </c>
      <c r="D96" s="91" t="str">
        <f>Source!H95</f>
        <v>шт.</v>
      </c>
      <c r="E96" s="92">
        <f>Source!I95</f>
        <v>183.9325</v>
      </c>
      <c r="F96" s="93">
        <f>Source!AK95</f>
        <v>0</v>
      </c>
      <c r="G96" s="94" t="s">
        <v>3</v>
      </c>
      <c r="H96" s="93">
        <f>ROUND(Source!AC95*Source!I95, 2)+ROUND((((Source!ET95)-(Source!EU95))+Source!AE95)*Source!I95, 2)+ROUND(Source!AF95*Source!I95, 2)</f>
        <v>0</v>
      </c>
      <c r="I96" s="91"/>
      <c r="J96" s="91">
        <f>IF(Source!BC95&lt;&gt; 0, Source!BC95, 1)</f>
        <v>1</v>
      </c>
      <c r="K96" s="93">
        <f>Source!O95</f>
        <v>0</v>
      </c>
      <c r="L96" s="93"/>
      <c r="S96" s="52">
        <f>ROUND((Source!FX95/100)*((ROUND(Source!AF95*Source!I95, 2)+ROUND(Source!AE95*Source!I95, 2))), 2)</f>
        <v>0</v>
      </c>
      <c r="T96" s="52">
        <f>Source!X95</f>
        <v>0</v>
      </c>
      <c r="U96" s="52">
        <f>ROUND((Source!FY95/100)*((ROUND(Source!AF95*Source!I95, 2)+ROUND(Source!AE95*Source!I95, 2))), 2)</f>
        <v>0</v>
      </c>
      <c r="V96" s="52">
        <f>Source!Y95</f>
        <v>0</v>
      </c>
      <c r="Y96" s="52">
        <f>IF(Source!BI95=3,H96, 0)</f>
        <v>0</v>
      </c>
      <c r="AA96" s="52">
        <f>ROUND(Source!AC95*Source!I95, 2)+ROUND((((Source!ET95)-(Source!EU95))+Source!AE95)*Source!I95, 2)+ROUND(Source!AF95*Source!I95, 2)</f>
        <v>0</v>
      </c>
      <c r="AB96" s="52">
        <f>Source!O95</f>
        <v>0</v>
      </c>
    </row>
    <row r="97" spans="1:31" ht="15" x14ac:dyDescent="0.2">
      <c r="G97" s="83">
        <f>ROUND(Source!AC94*Source!I94, 2)+ROUND(Source!AF94*Source!I94, 2)+ROUND((((Source!ET94)-(Source!EU94))+Source!AE94)*Source!I94, 2)+SUM(H93:H94)+SUM(AA96:AA96)</f>
        <v>81929.08</v>
      </c>
      <c r="H97" s="83"/>
      <c r="J97" s="83">
        <f>Source!O94+SUM(K93:K94)+SUM(AB96:AB96)</f>
        <v>1781935.55</v>
      </c>
      <c r="K97" s="83"/>
      <c r="L97" s="84">
        <f>Source!U94</f>
        <v>1366.0261500000001</v>
      </c>
      <c r="O97" s="85">
        <f>G97</f>
        <v>81929.08</v>
      </c>
      <c r="P97" s="85">
        <f>J97</f>
        <v>1781935.55</v>
      </c>
      <c r="Q97" s="85">
        <f>L97</f>
        <v>1366.0261500000001</v>
      </c>
      <c r="W97" s="52">
        <f>IF(Source!BI94&lt;=1,G97, 0)</f>
        <v>81929.08</v>
      </c>
      <c r="X97" s="52">
        <f>IF(Source!BI94=2,G97, 0)</f>
        <v>0</v>
      </c>
      <c r="Y97" s="52">
        <f>IF(Source!BI94=3,G97, 0)</f>
        <v>0</v>
      </c>
      <c r="Z97" s="52">
        <f>IF(Source!BI94=4,G97, 0)</f>
        <v>0</v>
      </c>
    </row>
    <row r="99" spans="1:31" ht="16.5" x14ac:dyDescent="0.2">
      <c r="A99" s="69" t="str">
        <f>CONCATENATE("Подраздел: ", Source!G98)</f>
        <v>Подраздел: Ворота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AE99" s="70" t="str">
        <f>CONCATENATE("Подраздел: ", Source!G98)</f>
        <v>Подраздел: Ворота</v>
      </c>
    </row>
    <row r="100" spans="1:31" ht="42.75" x14ac:dyDescent="0.2">
      <c r="A100" s="16" t="str">
        <f>Source!E102</f>
        <v>7</v>
      </c>
      <c r="B100" s="17" t="str">
        <f>Source!F102</f>
        <v>09-08-001-1</v>
      </c>
      <c r="C100" s="17" t="str">
        <f>Source!G102</f>
        <v>Установка металлических столбов высотой до 4 м с погружением в бетонное основание</v>
      </c>
      <c r="D100" s="71" t="str">
        <f>Source!H102</f>
        <v>100 столбов</v>
      </c>
      <c r="E100" s="72">
        <f>Source!I102</f>
        <v>0.02</v>
      </c>
      <c r="F100" s="73">
        <f>IF(Source!AK102&lt;&gt; 0, Source!AK102,Source!AL102 + Source!AM102 + Source!AO102)</f>
        <v>3978.49</v>
      </c>
      <c r="G100" s="74"/>
      <c r="H100" s="73"/>
      <c r="I100" s="74" t="str">
        <f>Source!BO102</f>
        <v>09-08-001-1</v>
      </c>
      <c r="J100" s="74"/>
      <c r="K100" s="73"/>
      <c r="L100" s="75"/>
      <c r="S100" s="52">
        <f>ROUND((Source!FX102/100)*((ROUND(Source!AF102*Source!I102, 2)+ROUND(Source!AE102*Source!I102, 2))), 2)</f>
        <v>9.8000000000000007</v>
      </c>
      <c r="T100" s="52">
        <f>Source!X102</f>
        <v>345.85</v>
      </c>
      <c r="U100" s="52">
        <f>ROUND((Source!FY102/100)*((ROUND(Source!AF102*Source!I102, 2)+ROUND(Source!AE102*Source!I102, 2))), 2)</f>
        <v>6.53</v>
      </c>
      <c r="V100" s="52">
        <f>Source!Y102</f>
        <v>230.57</v>
      </c>
    </row>
    <row r="101" spans="1:31" x14ac:dyDescent="0.2">
      <c r="C101" s="18" t="str">
        <f>"Объем: "&amp;Source!I102&amp;"=2/"&amp;"100"</f>
        <v>Объем: 0,02=2/100</v>
      </c>
    </row>
    <row r="102" spans="1:31" ht="14.25" x14ac:dyDescent="0.2">
      <c r="A102" s="16"/>
      <c r="B102" s="17"/>
      <c r="C102" s="17" t="s">
        <v>1206</v>
      </c>
      <c r="D102" s="71"/>
      <c r="E102" s="72"/>
      <c r="F102" s="73">
        <f>Source!AO102</f>
        <v>284.05</v>
      </c>
      <c r="G102" s="74" t="str">
        <f>Source!DG102</f>
        <v/>
      </c>
      <c r="H102" s="73">
        <f>ROUND(Source!AF102*Source!I102, 2)</f>
        <v>5.68</v>
      </c>
      <c r="I102" s="74"/>
      <c r="J102" s="74">
        <f>IF(Source!BA102&lt;&gt; 0, Source!BA102, 1)</f>
        <v>35.270000000000003</v>
      </c>
      <c r="K102" s="73">
        <f>Source!S102</f>
        <v>200.37</v>
      </c>
      <c r="L102" s="75"/>
      <c r="R102" s="52">
        <f>H102</f>
        <v>5.68</v>
      </c>
    </row>
    <row r="103" spans="1:31" ht="14.25" x14ac:dyDescent="0.2">
      <c r="A103" s="16"/>
      <c r="B103" s="17"/>
      <c r="C103" s="17" t="s">
        <v>103</v>
      </c>
      <c r="D103" s="71"/>
      <c r="E103" s="72"/>
      <c r="F103" s="73">
        <f>Source!AM102</f>
        <v>3457.98</v>
      </c>
      <c r="G103" s="74" t="str">
        <f>Source!DE102</f>
        <v/>
      </c>
      <c r="H103" s="73">
        <f>ROUND((((Source!ET102)-(Source!EU102))+Source!AE102)*Source!I102, 2)</f>
        <v>69.16</v>
      </c>
      <c r="I103" s="74"/>
      <c r="J103" s="74">
        <f>IF(Source!BB102&lt;&gt; 0, Source!BB102, 1)</f>
        <v>11.86</v>
      </c>
      <c r="K103" s="73">
        <f>Source!Q102</f>
        <v>820.23</v>
      </c>
      <c r="L103" s="75"/>
    </row>
    <row r="104" spans="1:31" ht="14.25" x14ac:dyDescent="0.2">
      <c r="A104" s="16"/>
      <c r="B104" s="17"/>
      <c r="C104" s="17" t="s">
        <v>1212</v>
      </c>
      <c r="D104" s="71"/>
      <c r="E104" s="72"/>
      <c r="F104" s="73">
        <f>Source!AN102</f>
        <v>243.14</v>
      </c>
      <c r="G104" s="74" t="str">
        <f>Source!DF102</f>
        <v/>
      </c>
      <c r="H104" s="73">
        <f>ROUND(Source!AE102*Source!I102, 2)</f>
        <v>4.8600000000000003</v>
      </c>
      <c r="I104" s="74"/>
      <c r="J104" s="74">
        <f>IF(Source!BS102&lt;&gt; 0, Source!BS102, 1)</f>
        <v>35.270000000000003</v>
      </c>
      <c r="K104" s="73">
        <f>Source!R102</f>
        <v>171.51</v>
      </c>
      <c r="L104" s="75"/>
      <c r="R104" s="52">
        <f>H104</f>
        <v>4.8600000000000003</v>
      </c>
    </row>
    <row r="105" spans="1:31" ht="14.25" x14ac:dyDescent="0.2">
      <c r="A105" s="16"/>
      <c r="B105" s="17"/>
      <c r="C105" s="17" t="s">
        <v>1213</v>
      </c>
      <c r="D105" s="71"/>
      <c r="E105" s="72"/>
      <c r="F105" s="73">
        <f>Source!AL102</f>
        <v>236.46</v>
      </c>
      <c r="G105" s="74" t="str">
        <f>Source!DD102</f>
        <v/>
      </c>
      <c r="H105" s="73">
        <f>ROUND(Source!AC102*Source!I102, 2)</f>
        <v>4.7300000000000004</v>
      </c>
      <c r="I105" s="74"/>
      <c r="J105" s="74">
        <f>IF(Source!BC102&lt;&gt; 0, Source!BC102, 1)</f>
        <v>10.34</v>
      </c>
      <c r="K105" s="73">
        <f>Source!P102</f>
        <v>48.9</v>
      </c>
      <c r="L105" s="75"/>
    </row>
    <row r="106" spans="1:31" ht="14.25" x14ac:dyDescent="0.2">
      <c r="A106" s="16"/>
      <c r="B106" s="17"/>
      <c r="C106" s="17" t="s">
        <v>1207</v>
      </c>
      <c r="D106" s="71" t="s">
        <v>1208</v>
      </c>
      <c r="E106" s="72">
        <f>Source!BZ102</f>
        <v>93</v>
      </c>
      <c r="F106" s="76"/>
      <c r="G106" s="74"/>
      <c r="H106" s="73">
        <f>SUM(S100:S110)</f>
        <v>9.8000000000000007</v>
      </c>
      <c r="I106" s="77"/>
      <c r="J106" s="17">
        <f>Source!AT102</f>
        <v>93</v>
      </c>
      <c r="K106" s="73">
        <f>SUM(T100:T110)</f>
        <v>345.85</v>
      </c>
      <c r="L106" s="75"/>
    </row>
    <row r="107" spans="1:31" ht="14.25" x14ac:dyDescent="0.2">
      <c r="A107" s="16"/>
      <c r="B107" s="17"/>
      <c r="C107" s="17" t="s">
        <v>1209</v>
      </c>
      <c r="D107" s="71" t="s">
        <v>1208</v>
      </c>
      <c r="E107" s="72">
        <f>Source!CA102</f>
        <v>62</v>
      </c>
      <c r="F107" s="76"/>
      <c r="G107" s="74"/>
      <c r="H107" s="73">
        <f>SUM(U100:U110)</f>
        <v>6.53</v>
      </c>
      <c r="I107" s="77"/>
      <c r="J107" s="17">
        <f>Source!AU102</f>
        <v>62</v>
      </c>
      <c r="K107" s="73">
        <f>SUM(V100:V110)</f>
        <v>230.57</v>
      </c>
      <c r="L107" s="75"/>
    </row>
    <row r="108" spans="1:31" ht="14.25" x14ac:dyDescent="0.2">
      <c r="A108" s="16"/>
      <c r="B108" s="17"/>
      <c r="C108" s="17" t="s">
        <v>1210</v>
      </c>
      <c r="D108" s="71" t="s">
        <v>1211</v>
      </c>
      <c r="E108" s="72">
        <f>Source!AQ102</f>
        <v>35.64</v>
      </c>
      <c r="F108" s="73"/>
      <c r="G108" s="74" t="str">
        <f>Source!DI102</f>
        <v/>
      </c>
      <c r="H108" s="73"/>
      <c r="I108" s="74"/>
      <c r="J108" s="74"/>
      <c r="K108" s="73"/>
      <c r="L108" s="89">
        <f>Source!U102</f>
        <v>0.71279999999999999</v>
      </c>
    </row>
    <row r="109" spans="1:31" ht="14.25" x14ac:dyDescent="0.2">
      <c r="A109" s="95" t="str">
        <f>Source!E103</f>
        <v>7,1</v>
      </c>
      <c r="B109" s="95" t="str">
        <f>Source!F103</f>
        <v>201-9212</v>
      </c>
      <c r="C109" s="95" t="str">
        <f>Source!G103</f>
        <v>Стойки металлические опорные</v>
      </c>
      <c r="D109" s="96" t="str">
        <f>Source!H103</f>
        <v>шт.</v>
      </c>
      <c r="E109" s="97">
        <f>Source!I103</f>
        <v>2</v>
      </c>
      <c r="F109" s="98">
        <f>Source!AK103</f>
        <v>0</v>
      </c>
      <c r="G109" s="99" t="s">
        <v>3</v>
      </c>
      <c r="H109" s="98">
        <f>ROUND(Source!AC103*Source!I103, 2)+ROUND((((Source!ET103)-(Source!EU103))+Source!AE103)*Source!I103, 2)+ROUND(Source!AF103*Source!I103, 2)</f>
        <v>0</v>
      </c>
      <c r="I109" s="96"/>
      <c r="J109" s="96">
        <f>IF(Source!BC103&lt;&gt; 0, Source!BC103, 1)</f>
        <v>1</v>
      </c>
      <c r="K109" s="98">
        <f>Source!O103</f>
        <v>0</v>
      </c>
      <c r="L109" s="98"/>
      <c r="S109" s="52">
        <f>ROUND((Source!FX103/100)*((ROUND(Source!AF103*Source!I103, 2)+ROUND(Source!AE103*Source!I103, 2))), 2)</f>
        <v>0</v>
      </c>
      <c r="T109" s="52">
        <f>Source!X103</f>
        <v>0</v>
      </c>
      <c r="U109" s="52">
        <f>ROUND((Source!FY103/100)*((ROUND(Source!AF103*Source!I103, 2)+ROUND(Source!AE103*Source!I103, 2))), 2)</f>
        <v>0</v>
      </c>
      <c r="V109" s="52">
        <f>Source!Y103</f>
        <v>0</v>
      </c>
      <c r="Y109" s="52">
        <f>IF(Source!BI103=3,H109, 0)</f>
        <v>0</v>
      </c>
      <c r="AA109" s="52">
        <f>ROUND(Source!AC103*Source!I103, 2)+ROUND((((Source!ET103)-(Source!EU103))+Source!AE103)*Source!I103, 2)+ROUND(Source!AF103*Source!I103, 2)</f>
        <v>0</v>
      </c>
      <c r="AB109" s="52">
        <f>Source!O103</f>
        <v>0</v>
      </c>
    </row>
    <row r="110" spans="1:31" ht="14.25" x14ac:dyDescent="0.2">
      <c r="A110" s="90" t="str">
        <f>Source!E104</f>
        <v>7,2</v>
      </c>
      <c r="B110" s="90" t="str">
        <f>Source!F104</f>
        <v>401-9021</v>
      </c>
      <c r="C110" s="90" t="str">
        <f>Source!G104</f>
        <v>Бетон</v>
      </c>
      <c r="D110" s="91" t="str">
        <f>Source!H104</f>
        <v>м3</v>
      </c>
      <c r="E110" s="92">
        <f>Source!I104</f>
        <v>0.1268</v>
      </c>
      <c r="F110" s="93">
        <f>Source!AK104</f>
        <v>0</v>
      </c>
      <c r="G110" s="94" t="s">
        <v>3</v>
      </c>
      <c r="H110" s="93">
        <f>ROUND(Source!AC104*Source!I104, 2)+ROUND((((Source!ET104)-(Source!EU104))+Source!AE104)*Source!I104, 2)+ROUND(Source!AF104*Source!I104, 2)</f>
        <v>0</v>
      </c>
      <c r="I110" s="91"/>
      <c r="J110" s="91">
        <f>IF(Source!BC104&lt;&gt; 0, Source!BC104, 1)</f>
        <v>1</v>
      </c>
      <c r="K110" s="93">
        <f>Source!O104</f>
        <v>0</v>
      </c>
      <c r="L110" s="93"/>
      <c r="S110" s="52">
        <f>ROUND((Source!FX104/100)*((ROUND(Source!AF104*Source!I104, 2)+ROUND(Source!AE104*Source!I104, 2))), 2)</f>
        <v>0</v>
      </c>
      <c r="T110" s="52">
        <f>Source!X104</f>
        <v>0</v>
      </c>
      <c r="U110" s="52">
        <f>ROUND((Source!FY104/100)*((ROUND(Source!AF104*Source!I104, 2)+ROUND(Source!AE104*Source!I104, 2))), 2)</f>
        <v>0</v>
      </c>
      <c r="V110" s="52">
        <f>Source!Y104</f>
        <v>0</v>
      </c>
      <c r="Y110" s="52">
        <f>IF(Source!BI104=3,H110, 0)</f>
        <v>0</v>
      </c>
      <c r="AA110" s="52">
        <f>ROUND(Source!AC104*Source!I104, 2)+ROUND((((Source!ET104)-(Source!EU104))+Source!AE104)*Source!I104, 2)+ROUND(Source!AF104*Source!I104, 2)</f>
        <v>0</v>
      </c>
      <c r="AB110" s="52">
        <f>Source!O104</f>
        <v>0</v>
      </c>
    </row>
    <row r="111" spans="1:31" ht="15" x14ac:dyDescent="0.2">
      <c r="G111" s="83">
        <f>ROUND(Source!AC102*Source!I102, 2)+ROUND(Source!AF102*Source!I102, 2)+ROUND((((Source!ET102)-(Source!EU102))+Source!AE102)*Source!I102, 2)+SUM(H106:H107)+SUM(AA109:AA110)</f>
        <v>95.899999999999991</v>
      </c>
      <c r="H111" s="83"/>
      <c r="J111" s="83">
        <f>Source!O102+SUM(K106:K107)+SUM(AB109:AB110)</f>
        <v>1645.92</v>
      </c>
      <c r="K111" s="83"/>
      <c r="L111" s="84">
        <f>Source!U102</f>
        <v>0.71279999999999999</v>
      </c>
      <c r="O111" s="85">
        <f>G111</f>
        <v>95.899999999999991</v>
      </c>
      <c r="P111" s="85">
        <f>J111</f>
        <v>1645.92</v>
      </c>
      <c r="Q111" s="85">
        <f>L111</f>
        <v>0.71279999999999999</v>
      </c>
      <c r="W111" s="52">
        <f>IF(Source!BI102&lt;=1,G111, 0)</f>
        <v>95.899999999999991</v>
      </c>
      <c r="X111" s="52">
        <f>IF(Source!BI102=2,G111, 0)</f>
        <v>0</v>
      </c>
      <c r="Y111" s="52">
        <f>IF(Source!BI102=3,G111, 0)</f>
        <v>0</v>
      </c>
      <c r="Z111" s="52">
        <f>IF(Source!BI102=4,G111, 0)</f>
        <v>0</v>
      </c>
    </row>
    <row r="112" spans="1:31" ht="42.75" x14ac:dyDescent="0.2">
      <c r="A112" s="16" t="str">
        <f>Source!E105</f>
        <v>8</v>
      </c>
      <c r="B112" s="17" t="str">
        <f>Source!F105</f>
        <v>201-0778</v>
      </c>
      <c r="C112" s="17" t="str">
        <f>Source!G105</f>
        <v>Прочие индивидуальные сварные конструкции, масса сборочной единицы до 0,1 т</v>
      </c>
      <c r="D112" s="71" t="str">
        <f>Source!H105</f>
        <v>т</v>
      </c>
      <c r="E112" s="72">
        <f>Source!I105</f>
        <v>5.0200000000000002E-2</v>
      </c>
      <c r="F112" s="73">
        <f>IF(Source!AK105&lt;&gt; 0, Source!AK105,Source!AL105 + Source!AM105 + Source!AO105)</f>
        <v>11315</v>
      </c>
      <c r="G112" s="74"/>
      <c r="H112" s="73"/>
      <c r="I112" s="74" t="str">
        <f>Source!BO105</f>
        <v>201-0778</v>
      </c>
      <c r="J112" s="74"/>
      <c r="K112" s="73"/>
      <c r="L112" s="75"/>
      <c r="S112" s="52">
        <f>ROUND((Source!FX105/100)*((ROUND(Source!AF105*Source!I105, 2)+ROUND(Source!AE105*Source!I105, 2))), 2)</f>
        <v>0</v>
      </c>
      <c r="T112" s="52">
        <f>Source!X105</f>
        <v>0</v>
      </c>
      <c r="U112" s="52">
        <f>ROUND((Source!FY105/100)*((ROUND(Source!AF105*Source!I105, 2)+ROUND(Source!AE105*Source!I105, 2))), 2)</f>
        <v>0</v>
      </c>
      <c r="V112" s="52">
        <f>Source!Y105</f>
        <v>0</v>
      </c>
    </row>
    <row r="113" spans="1:28" ht="14.25" x14ac:dyDescent="0.2">
      <c r="A113" s="20"/>
      <c r="B113" s="21"/>
      <c r="C113" s="21" t="s">
        <v>1213</v>
      </c>
      <c r="D113" s="78"/>
      <c r="E113" s="79"/>
      <c r="F113" s="80">
        <f>Source!AL105</f>
        <v>11315</v>
      </c>
      <c r="G113" s="81" t="str">
        <f>Source!DD105</f>
        <v/>
      </c>
      <c r="H113" s="80">
        <f>ROUND(Source!AC105*Source!I105, 2)</f>
        <v>568.01</v>
      </c>
      <c r="I113" s="81"/>
      <c r="J113" s="81">
        <f>IF(Source!BC105&lt;&gt; 0, Source!BC105, 1)</f>
        <v>10.11</v>
      </c>
      <c r="K113" s="80">
        <f>Source!P105</f>
        <v>5742.61</v>
      </c>
      <c r="L113" s="100"/>
    </row>
    <row r="114" spans="1:28" ht="15" x14ac:dyDescent="0.2">
      <c r="G114" s="83">
        <f>ROUND(Source!AC105*Source!I105, 2)+ROUND(Source!AF105*Source!I105, 2)+ROUND((((Source!ET105)-(Source!EU105))+Source!AE105)*Source!I105, 2)</f>
        <v>568.01</v>
      </c>
      <c r="H114" s="83"/>
      <c r="J114" s="83">
        <f>Source!O105</f>
        <v>5742.61</v>
      </c>
      <c r="K114" s="83"/>
      <c r="L114" s="84">
        <f>Source!U105</f>
        <v>0</v>
      </c>
      <c r="O114" s="85">
        <f>G114</f>
        <v>568.01</v>
      </c>
      <c r="P114" s="85">
        <f>J114</f>
        <v>5742.61</v>
      </c>
      <c r="Q114" s="85">
        <f>L114</f>
        <v>0</v>
      </c>
      <c r="W114" s="52">
        <f>IF(Source!BI105&lt;=1,G114, 0)</f>
        <v>568.01</v>
      </c>
      <c r="X114" s="52">
        <f>IF(Source!BI105=2,G114, 0)</f>
        <v>0</v>
      </c>
      <c r="Y114" s="52">
        <f>IF(Source!BI105=3,G114, 0)</f>
        <v>0</v>
      </c>
      <c r="Z114" s="52">
        <f>IF(Source!BI105=4,G114, 0)</f>
        <v>0</v>
      </c>
    </row>
    <row r="115" spans="1:28" ht="14.25" x14ac:dyDescent="0.2">
      <c r="A115" s="16" t="str">
        <f>Source!E106</f>
        <v>9</v>
      </c>
      <c r="B115" s="17" t="str">
        <f>Source!F106</f>
        <v>401-0107</v>
      </c>
      <c r="C115" s="17" t="str">
        <f>Source!G106</f>
        <v>Бетон дорожный, класс В20 (М250)</v>
      </c>
      <c r="D115" s="71" t="str">
        <f>Source!H106</f>
        <v>м3</v>
      </c>
      <c r="E115" s="72">
        <f>Source!I106</f>
        <v>0.1268</v>
      </c>
      <c r="F115" s="73">
        <f>IF(Source!AK106&lt;&gt; 0, Source!AK106,Source!AL106 + Source!AM106 + Source!AO106)</f>
        <v>620</v>
      </c>
      <c r="G115" s="74"/>
      <c r="H115" s="73"/>
      <c r="I115" s="74" t="str">
        <f>Source!BO106</f>
        <v>401-0107</v>
      </c>
      <c r="J115" s="74"/>
      <c r="K115" s="73"/>
      <c r="L115" s="75"/>
      <c r="S115" s="52">
        <f>ROUND((Source!FX106/100)*((ROUND(Source!AF106*Source!I106, 2)+ROUND(Source!AE106*Source!I106, 2))), 2)</f>
        <v>0</v>
      </c>
      <c r="T115" s="52">
        <f>Source!X106</f>
        <v>0</v>
      </c>
      <c r="U115" s="52">
        <f>ROUND((Source!FY106/100)*((ROUND(Source!AF106*Source!I106, 2)+ROUND(Source!AE106*Source!I106, 2))), 2)</f>
        <v>0</v>
      </c>
      <c r="V115" s="52">
        <f>Source!Y106</f>
        <v>0</v>
      </c>
    </row>
    <row r="116" spans="1:28" ht="14.25" x14ac:dyDescent="0.2">
      <c r="A116" s="20"/>
      <c r="B116" s="21"/>
      <c r="C116" s="21" t="s">
        <v>1213</v>
      </c>
      <c r="D116" s="78"/>
      <c r="E116" s="79"/>
      <c r="F116" s="80">
        <f>Source!AL106</f>
        <v>620</v>
      </c>
      <c r="G116" s="81" t="str">
        <f>Source!DD106</f>
        <v/>
      </c>
      <c r="H116" s="80">
        <f>ROUND(Source!AC106*Source!I106, 2)</f>
        <v>78.62</v>
      </c>
      <c r="I116" s="81"/>
      <c r="J116" s="81">
        <f>IF(Source!BC106&lt;&gt; 0, Source!BC106, 1)</f>
        <v>13.57</v>
      </c>
      <c r="K116" s="80">
        <f>Source!P106</f>
        <v>1066.82</v>
      </c>
      <c r="L116" s="100"/>
    </row>
    <row r="117" spans="1:28" ht="15" x14ac:dyDescent="0.2">
      <c r="G117" s="83">
        <f>ROUND(Source!AC106*Source!I106, 2)+ROUND(Source!AF106*Source!I106, 2)+ROUND((((Source!ET106)-(Source!EU106))+Source!AE106)*Source!I106, 2)</f>
        <v>78.62</v>
      </c>
      <c r="H117" s="83"/>
      <c r="J117" s="83">
        <f>Source!O106</f>
        <v>1066.82</v>
      </c>
      <c r="K117" s="83"/>
      <c r="L117" s="84">
        <f>Source!U106</f>
        <v>0</v>
      </c>
      <c r="O117" s="85">
        <f>G117</f>
        <v>78.62</v>
      </c>
      <c r="P117" s="85">
        <f>J117</f>
        <v>1066.82</v>
      </c>
      <c r="Q117" s="85">
        <f>L117</f>
        <v>0</v>
      </c>
      <c r="W117" s="52">
        <f>IF(Source!BI106&lt;=1,G117, 0)</f>
        <v>78.62</v>
      </c>
      <c r="X117" s="52">
        <f>IF(Source!BI106=2,G117, 0)</f>
        <v>0</v>
      </c>
      <c r="Y117" s="52">
        <f>IF(Source!BI106=3,G117, 0)</f>
        <v>0</v>
      </c>
      <c r="Z117" s="52">
        <f>IF(Source!BI106=4,G117, 0)</f>
        <v>0</v>
      </c>
    </row>
    <row r="118" spans="1:28" ht="71.25" x14ac:dyDescent="0.2">
      <c r="A118" s="16" t="str">
        <f>Source!E107</f>
        <v>10</v>
      </c>
      <c r="B118" s="17" t="str">
        <f>Source!F107</f>
        <v>м38-01-003-4</v>
      </c>
      <c r="C118" s="17" t="str">
        <f>Source!G107</f>
        <v>Решетчатые конструкции (стойки, опоры, фермы и пр.), сборка с помощью лебедок ручных (с установкой и снятием их в процессе работы) или вручную (мелких деталей)</v>
      </c>
      <c r="D118" s="71" t="str">
        <f>Source!H107</f>
        <v>1 т конструкций</v>
      </c>
      <c r="E118" s="72">
        <f>Source!I107</f>
        <v>0.23300000000000001</v>
      </c>
      <c r="F118" s="73">
        <f>IF(Source!AK107&lt;&gt; 0, Source!AK107,Source!AL107 + Source!AM107 + Source!AO107)</f>
        <v>7814.57</v>
      </c>
      <c r="G118" s="74"/>
      <c r="H118" s="73"/>
      <c r="I118" s="74" t="str">
        <f>Source!BO107</f>
        <v>м38-01-003-4</v>
      </c>
      <c r="J118" s="74"/>
      <c r="K118" s="73"/>
      <c r="L118" s="75"/>
      <c r="S118" s="52">
        <f>ROUND((Source!FX107/100)*((ROUND(Source!AF107*Source!I107, 2)+ROUND(Source!AE107*Source!I107, 2))), 2)</f>
        <v>229.08</v>
      </c>
      <c r="T118" s="52">
        <f>Source!X107</f>
        <v>8079.6</v>
      </c>
      <c r="U118" s="52">
        <f>ROUND((Source!FY107/100)*((ROUND(Source!AF107*Source!I107, 2)+ROUND(Source!AE107*Source!I107, 2))), 2)</f>
        <v>114.54</v>
      </c>
      <c r="V118" s="52">
        <f>Source!Y107</f>
        <v>4039.8</v>
      </c>
    </row>
    <row r="119" spans="1:28" ht="14.25" x14ac:dyDescent="0.2">
      <c r="A119" s="16"/>
      <c r="B119" s="17"/>
      <c r="C119" s="17" t="s">
        <v>1206</v>
      </c>
      <c r="D119" s="71"/>
      <c r="E119" s="72"/>
      <c r="F119" s="73">
        <f>Source!AO107</f>
        <v>1078.8</v>
      </c>
      <c r="G119" s="74" t="str">
        <f>Source!DG107</f>
        <v/>
      </c>
      <c r="H119" s="73">
        <f>ROUND(Source!AF107*Source!I107, 2)</f>
        <v>251.36</v>
      </c>
      <c r="I119" s="74"/>
      <c r="J119" s="74">
        <f>IF(Source!BA107&lt;&gt; 0, Source!BA107, 1)</f>
        <v>35.270000000000003</v>
      </c>
      <c r="K119" s="73">
        <f>Source!S107</f>
        <v>8865.48</v>
      </c>
      <c r="L119" s="75"/>
      <c r="R119" s="52">
        <f>H119</f>
        <v>251.36</v>
      </c>
    </row>
    <row r="120" spans="1:28" ht="14.25" x14ac:dyDescent="0.2">
      <c r="A120" s="16"/>
      <c r="B120" s="17"/>
      <c r="C120" s="17" t="s">
        <v>103</v>
      </c>
      <c r="D120" s="71"/>
      <c r="E120" s="72"/>
      <c r="F120" s="73">
        <f>Source!AM107</f>
        <v>379.41</v>
      </c>
      <c r="G120" s="74" t="str">
        <f>Source!DE107</f>
        <v/>
      </c>
      <c r="H120" s="73">
        <f>ROUND((((Source!ET107)-(Source!EU107))+Source!AE107)*Source!I107, 2)</f>
        <v>88.4</v>
      </c>
      <c r="I120" s="74"/>
      <c r="J120" s="74">
        <f>IF(Source!BB107&lt;&gt; 0, Source!BB107, 1)</f>
        <v>8.89</v>
      </c>
      <c r="K120" s="73">
        <f>Source!Q107</f>
        <v>785.9</v>
      </c>
      <c r="L120" s="75"/>
    </row>
    <row r="121" spans="1:28" ht="14.25" x14ac:dyDescent="0.2">
      <c r="A121" s="16"/>
      <c r="B121" s="17"/>
      <c r="C121" s="17" t="s">
        <v>1212</v>
      </c>
      <c r="D121" s="71"/>
      <c r="E121" s="72"/>
      <c r="F121" s="73">
        <f>Source!AN107</f>
        <v>13.61</v>
      </c>
      <c r="G121" s="74" t="str">
        <f>Source!DF107</f>
        <v/>
      </c>
      <c r="H121" s="73">
        <f>ROUND(Source!AE107*Source!I107, 2)</f>
        <v>3.17</v>
      </c>
      <c r="I121" s="74"/>
      <c r="J121" s="74">
        <f>IF(Source!BS107&lt;&gt; 0, Source!BS107, 1)</f>
        <v>35.270000000000003</v>
      </c>
      <c r="K121" s="73">
        <f>Source!R107</f>
        <v>111.85</v>
      </c>
      <c r="L121" s="75"/>
      <c r="R121" s="52">
        <f>H121</f>
        <v>3.17</v>
      </c>
    </row>
    <row r="122" spans="1:28" ht="14.25" x14ac:dyDescent="0.2">
      <c r="A122" s="16"/>
      <c r="B122" s="17"/>
      <c r="C122" s="17" t="s">
        <v>1213</v>
      </c>
      <c r="D122" s="71"/>
      <c r="E122" s="72"/>
      <c r="F122" s="73">
        <f>Source!AL107</f>
        <v>6356.36</v>
      </c>
      <c r="G122" s="74" t="str">
        <f>Source!DD107</f>
        <v/>
      </c>
      <c r="H122" s="73">
        <f>ROUND(Source!AC107*Source!I107, 2)</f>
        <v>1481.03</v>
      </c>
      <c r="I122" s="74"/>
      <c r="J122" s="74">
        <f>IF(Source!BC107&lt;&gt; 0, Source!BC107, 1)</f>
        <v>13.97</v>
      </c>
      <c r="K122" s="73">
        <f>Source!P107</f>
        <v>20690.02</v>
      </c>
      <c r="L122" s="75"/>
    </row>
    <row r="123" spans="1:28" ht="14.25" x14ac:dyDescent="0.2">
      <c r="A123" s="16"/>
      <c r="B123" s="17"/>
      <c r="C123" s="17" t="s">
        <v>1207</v>
      </c>
      <c r="D123" s="71" t="s">
        <v>1208</v>
      </c>
      <c r="E123" s="72">
        <f>Source!BZ107</f>
        <v>90</v>
      </c>
      <c r="F123" s="76"/>
      <c r="G123" s="74"/>
      <c r="H123" s="73">
        <f>SUM(S118:S126)</f>
        <v>229.08</v>
      </c>
      <c r="I123" s="77"/>
      <c r="J123" s="17">
        <f>Source!AT107</f>
        <v>90</v>
      </c>
      <c r="K123" s="73">
        <f>SUM(T118:T126)</f>
        <v>8079.6</v>
      </c>
      <c r="L123" s="75"/>
    </row>
    <row r="124" spans="1:28" ht="14.25" x14ac:dyDescent="0.2">
      <c r="A124" s="16"/>
      <c r="B124" s="17"/>
      <c r="C124" s="17" t="s">
        <v>1209</v>
      </c>
      <c r="D124" s="71" t="s">
        <v>1208</v>
      </c>
      <c r="E124" s="72">
        <f>Source!CA107</f>
        <v>45</v>
      </c>
      <c r="F124" s="76"/>
      <c r="G124" s="74"/>
      <c r="H124" s="73">
        <f>SUM(U118:U126)</f>
        <v>114.54</v>
      </c>
      <c r="I124" s="77"/>
      <c r="J124" s="17">
        <f>Source!AU107</f>
        <v>45</v>
      </c>
      <c r="K124" s="73">
        <f>SUM(V118:V126)</f>
        <v>4039.8</v>
      </c>
      <c r="L124" s="75"/>
    </row>
    <row r="125" spans="1:28" ht="14.25" x14ac:dyDescent="0.2">
      <c r="A125" s="16"/>
      <c r="B125" s="17"/>
      <c r="C125" s="17" t="s">
        <v>1210</v>
      </c>
      <c r="D125" s="71" t="s">
        <v>1211</v>
      </c>
      <c r="E125" s="72">
        <f>Source!AQ107</f>
        <v>120</v>
      </c>
      <c r="F125" s="73"/>
      <c r="G125" s="74" t="str">
        <f>Source!DI107</f>
        <v/>
      </c>
      <c r="H125" s="73"/>
      <c r="I125" s="74"/>
      <c r="J125" s="74"/>
      <c r="K125" s="73"/>
      <c r="L125" s="89">
        <f>Source!U107</f>
        <v>27.96</v>
      </c>
    </row>
    <row r="126" spans="1:28" ht="28.5" x14ac:dyDescent="0.2">
      <c r="A126" s="90" t="str">
        <f>Source!E108</f>
        <v>10,1</v>
      </c>
      <c r="B126" s="90" t="str">
        <f>Source!F108</f>
        <v>101-1026</v>
      </c>
      <c r="C126" s="90" t="str">
        <f>Source!G108</f>
        <v>Швеллеры № 40 из стали марки Ст3сп</v>
      </c>
      <c r="D126" s="91" t="str">
        <f>Source!H108</f>
        <v>т</v>
      </c>
      <c r="E126" s="92">
        <f>Source!I108</f>
        <v>-0.24045600000000003</v>
      </c>
      <c r="F126" s="93">
        <f>Source!AK108</f>
        <v>5903.6</v>
      </c>
      <c r="G126" s="94" t="s">
        <v>3</v>
      </c>
      <c r="H126" s="93">
        <f>ROUND(Source!AC108*Source!I108, 2)+ROUND((((Source!ET108)-(Source!EU108))+Source!AE108)*Source!I108, 2)+ROUND(Source!AF108*Source!I108, 2)</f>
        <v>-1419.56</v>
      </c>
      <c r="I126" s="91"/>
      <c r="J126" s="91">
        <f>IF(Source!BC108&lt;&gt; 0, Source!BC108, 1)</f>
        <v>14</v>
      </c>
      <c r="K126" s="93">
        <f>Source!O108</f>
        <v>-19873.78</v>
      </c>
      <c r="L126" s="93"/>
      <c r="S126" s="52">
        <f>ROUND((Source!FX108/100)*((ROUND(Source!AF108*Source!I108, 2)+ROUND(Source!AE108*Source!I108, 2))), 2)</f>
        <v>0</v>
      </c>
      <c r="T126" s="52">
        <f>Source!X108</f>
        <v>0</v>
      </c>
      <c r="U126" s="52">
        <f>ROUND((Source!FY108/100)*((ROUND(Source!AF108*Source!I108, 2)+ROUND(Source!AE108*Source!I108, 2))), 2)</f>
        <v>0</v>
      </c>
      <c r="V126" s="52">
        <f>Source!Y108</f>
        <v>0</v>
      </c>
      <c r="Y126" s="52">
        <f>IF(Source!BI108=3,H126, 0)</f>
        <v>0</v>
      </c>
      <c r="AA126" s="52">
        <f>ROUND(Source!AC108*Source!I108, 2)+ROUND((((Source!ET108)-(Source!EU108))+Source!AE108)*Source!I108, 2)+ROUND(Source!AF108*Source!I108, 2)</f>
        <v>-1419.56</v>
      </c>
      <c r="AB126" s="52">
        <f>Source!O108</f>
        <v>-19873.78</v>
      </c>
    </row>
    <row r="127" spans="1:28" ht="15" x14ac:dyDescent="0.2">
      <c r="G127" s="83">
        <f>ROUND(Source!AC107*Source!I107, 2)+ROUND(Source!AF107*Source!I107, 2)+ROUND((((Source!ET107)-(Source!EU107))+Source!AE107)*Source!I107, 2)+SUM(H123:H124)+SUM(AA126:AA126)</f>
        <v>744.84999999999991</v>
      </c>
      <c r="H127" s="83"/>
      <c r="J127" s="83">
        <f>Source!O107+SUM(K123:K124)+SUM(AB126:AB126)</f>
        <v>22587.020000000004</v>
      </c>
      <c r="K127" s="83"/>
      <c r="L127" s="84">
        <f>Source!U107</f>
        <v>27.96</v>
      </c>
      <c r="O127" s="85">
        <f>G127</f>
        <v>744.84999999999991</v>
      </c>
      <c r="P127" s="85">
        <f>J127</f>
        <v>22587.020000000004</v>
      </c>
      <c r="Q127" s="85">
        <f>L127</f>
        <v>27.96</v>
      </c>
      <c r="W127" s="52">
        <f>IF(Source!BI107&lt;=1,G127, 0)</f>
        <v>0</v>
      </c>
      <c r="X127" s="52">
        <f>IF(Source!BI107=2,G127, 0)</f>
        <v>744.84999999999991</v>
      </c>
      <c r="Y127" s="52">
        <f>IF(Source!BI107=3,G127, 0)</f>
        <v>0</v>
      </c>
      <c r="Z127" s="52">
        <f>IF(Source!BI107=4,G127, 0)</f>
        <v>0</v>
      </c>
    </row>
    <row r="128" spans="1:28" ht="42.75" x14ac:dyDescent="0.2">
      <c r="A128" s="16" t="str">
        <f>Source!E109</f>
        <v>11</v>
      </c>
      <c r="B128" s="17" t="str">
        <f>Source!F109</f>
        <v>103-1558</v>
      </c>
      <c r="C128" s="17" t="str">
        <f>Source!G109</f>
        <v>Трубы стальные квадратные из стали марки ст1-3сп/пс размером 20х20 мм, толщина стенки 2 мм</v>
      </c>
      <c r="D128" s="71" t="str">
        <f>Source!H109</f>
        <v>т</v>
      </c>
      <c r="E128" s="72">
        <f>Source!I109</f>
        <v>8.4000000000000005E-2</v>
      </c>
      <c r="F128" s="73">
        <f>IF(Source!AK109&lt;&gt; 0, Source!AK109,Source!AL109 + Source!AM109 + Source!AO109)</f>
        <v>6232.24</v>
      </c>
      <c r="G128" s="74"/>
      <c r="H128" s="73"/>
      <c r="I128" s="74" t="str">
        <f>Source!BO109</f>
        <v>103-1558</v>
      </c>
      <c r="J128" s="74"/>
      <c r="K128" s="73"/>
      <c r="L128" s="75"/>
      <c r="S128" s="52">
        <f>ROUND((Source!FX109/100)*((ROUND(Source!AF109*Source!I109, 2)+ROUND(Source!AE109*Source!I109, 2))), 2)</f>
        <v>0</v>
      </c>
      <c r="T128" s="52">
        <f>Source!X109</f>
        <v>0</v>
      </c>
      <c r="U128" s="52">
        <f>ROUND((Source!FY109/100)*((ROUND(Source!AF109*Source!I109, 2)+ROUND(Source!AE109*Source!I109, 2))), 2)</f>
        <v>0</v>
      </c>
      <c r="V128" s="52">
        <f>Source!Y109</f>
        <v>0</v>
      </c>
    </row>
    <row r="129" spans="1:26" ht="14.25" x14ac:dyDescent="0.2">
      <c r="A129" s="20"/>
      <c r="B129" s="21"/>
      <c r="C129" s="21" t="s">
        <v>1213</v>
      </c>
      <c r="D129" s="78"/>
      <c r="E129" s="79"/>
      <c r="F129" s="80">
        <f>Source!AL109</f>
        <v>6232.24</v>
      </c>
      <c r="G129" s="81" t="str">
        <f>Source!DD109</f>
        <v/>
      </c>
      <c r="H129" s="80">
        <f>ROUND(Source!AC109*Source!I109, 2)</f>
        <v>523.51</v>
      </c>
      <c r="I129" s="81"/>
      <c r="J129" s="81">
        <f>IF(Source!BC109&lt;&gt; 0, Source!BC109, 1)</f>
        <v>10.59</v>
      </c>
      <c r="K129" s="80">
        <f>Source!P109</f>
        <v>5543.95</v>
      </c>
      <c r="L129" s="100"/>
    </row>
    <row r="130" spans="1:26" ht="15" x14ac:dyDescent="0.2">
      <c r="G130" s="83">
        <f>ROUND(Source!AC109*Source!I109, 2)+ROUND(Source!AF109*Source!I109, 2)+ROUND((((Source!ET109)-(Source!EU109))+Source!AE109)*Source!I109, 2)</f>
        <v>523.51</v>
      </c>
      <c r="H130" s="83"/>
      <c r="J130" s="83">
        <f>Source!O109</f>
        <v>5543.95</v>
      </c>
      <c r="K130" s="83"/>
      <c r="L130" s="84">
        <f>Source!U109</f>
        <v>0</v>
      </c>
      <c r="O130" s="85">
        <f>G130</f>
        <v>523.51</v>
      </c>
      <c r="P130" s="85">
        <f>J130</f>
        <v>5543.95</v>
      </c>
      <c r="Q130" s="85">
        <f>L130</f>
        <v>0</v>
      </c>
      <c r="W130" s="52">
        <f>IF(Source!BI109&lt;=1,G130, 0)</f>
        <v>523.51</v>
      </c>
      <c r="X130" s="52">
        <f>IF(Source!BI109=2,G130, 0)</f>
        <v>0</v>
      </c>
      <c r="Y130" s="52">
        <f>IF(Source!BI109=3,G130, 0)</f>
        <v>0</v>
      </c>
      <c r="Z130" s="52">
        <f>IF(Source!BI109=4,G130, 0)</f>
        <v>0</v>
      </c>
    </row>
    <row r="131" spans="1:26" ht="42.75" x14ac:dyDescent="0.2">
      <c r="A131" s="16" t="str">
        <f>Source!E110</f>
        <v>12</v>
      </c>
      <c r="B131" s="17" t="str">
        <f>Source!F110</f>
        <v>103-1945</v>
      </c>
      <c r="C131" s="17" t="str">
        <f>Source!G110</f>
        <v>Трубы стальные прямоугольные из стали марки ст1-3сп/пс размером 60х40 мм, толщина стенки 2 мм</v>
      </c>
      <c r="D131" s="71" t="str">
        <f>Source!H110</f>
        <v>т</v>
      </c>
      <c r="E131" s="72">
        <f>Source!I110</f>
        <v>6.1400000000000003E-2</v>
      </c>
      <c r="F131" s="73">
        <f>IF(Source!AK110&lt;&gt; 0, Source!AK110,Source!AL110 + Source!AM110 + Source!AO110)</f>
        <v>6232.24</v>
      </c>
      <c r="G131" s="74"/>
      <c r="H131" s="73"/>
      <c r="I131" s="74" t="str">
        <f>Source!BO110</f>
        <v>103-1945</v>
      </c>
      <c r="J131" s="74"/>
      <c r="K131" s="73"/>
      <c r="L131" s="75"/>
      <c r="S131" s="52">
        <f>ROUND((Source!FX110/100)*((ROUND(Source!AF110*Source!I110, 2)+ROUND(Source!AE110*Source!I110, 2))), 2)</f>
        <v>0</v>
      </c>
      <c r="T131" s="52">
        <f>Source!X110</f>
        <v>0</v>
      </c>
      <c r="U131" s="52">
        <f>ROUND((Source!FY110/100)*((ROUND(Source!AF110*Source!I110, 2)+ROUND(Source!AE110*Source!I110, 2))), 2)</f>
        <v>0</v>
      </c>
      <c r="V131" s="52">
        <f>Source!Y110</f>
        <v>0</v>
      </c>
    </row>
    <row r="132" spans="1:26" ht="14.25" x14ac:dyDescent="0.2">
      <c r="A132" s="20"/>
      <c r="B132" s="21"/>
      <c r="C132" s="21" t="s">
        <v>1213</v>
      </c>
      <c r="D132" s="78"/>
      <c r="E132" s="79"/>
      <c r="F132" s="80">
        <f>Source!AL110</f>
        <v>6232.24</v>
      </c>
      <c r="G132" s="81" t="str">
        <f>Source!DD110</f>
        <v/>
      </c>
      <c r="H132" s="80">
        <f>ROUND(Source!AC110*Source!I110, 2)</f>
        <v>382.66</v>
      </c>
      <c r="I132" s="81"/>
      <c r="J132" s="81">
        <f>IF(Source!BC110&lt;&gt; 0, Source!BC110, 1)</f>
        <v>10.82</v>
      </c>
      <c r="K132" s="80">
        <f>Source!P110</f>
        <v>4140.38</v>
      </c>
      <c r="L132" s="100"/>
    </row>
    <row r="133" spans="1:26" ht="15" x14ac:dyDescent="0.2">
      <c r="G133" s="83">
        <f>ROUND(Source!AC110*Source!I110, 2)+ROUND(Source!AF110*Source!I110, 2)+ROUND((((Source!ET110)-(Source!EU110))+Source!AE110)*Source!I110, 2)</f>
        <v>382.66</v>
      </c>
      <c r="H133" s="83"/>
      <c r="J133" s="83">
        <f>Source!O110</f>
        <v>4140.38</v>
      </c>
      <c r="K133" s="83"/>
      <c r="L133" s="84">
        <f>Source!U110</f>
        <v>0</v>
      </c>
      <c r="O133" s="85">
        <f>G133</f>
        <v>382.66</v>
      </c>
      <c r="P133" s="85">
        <f>J133</f>
        <v>4140.38</v>
      </c>
      <c r="Q133" s="85">
        <f>L133</f>
        <v>0</v>
      </c>
      <c r="W133" s="52">
        <f>IF(Source!BI110&lt;=1,G133, 0)</f>
        <v>382.66</v>
      </c>
      <c r="X133" s="52">
        <f>IF(Source!BI110=2,G133, 0)</f>
        <v>0</v>
      </c>
      <c r="Y133" s="52">
        <f>IF(Source!BI110=3,G133, 0)</f>
        <v>0</v>
      </c>
      <c r="Z133" s="52">
        <f>IF(Source!BI110=4,G133, 0)</f>
        <v>0</v>
      </c>
    </row>
    <row r="134" spans="1:26" ht="14.25" x14ac:dyDescent="0.2">
      <c r="A134" s="16" t="str">
        <f>Source!E111</f>
        <v>13</v>
      </c>
      <c r="B134" s="17" t="str">
        <f>Source!F111</f>
        <v>101-3687</v>
      </c>
      <c r="C134" s="17" t="str">
        <f>Source!G111</f>
        <v>Швеллеры № 14 сталь марки Ст3пс</v>
      </c>
      <c r="D134" s="71" t="str">
        <f>Source!H111</f>
        <v>т</v>
      </c>
      <c r="E134" s="72">
        <f>Source!I111</f>
        <v>3.7600000000000001E-2</v>
      </c>
      <c r="F134" s="73">
        <f>IF(Source!AK111&lt;&gt; 0, Source!AK111,Source!AL111 + Source!AM111 + Source!AO111)</f>
        <v>4872</v>
      </c>
      <c r="G134" s="74"/>
      <c r="H134" s="73"/>
      <c r="I134" s="74" t="str">
        <f>Source!BO111</f>
        <v>101-3687</v>
      </c>
      <c r="J134" s="74"/>
      <c r="K134" s="73"/>
      <c r="L134" s="75"/>
      <c r="S134" s="52">
        <f>ROUND((Source!FX111/100)*((ROUND(Source!AF111*Source!I111, 2)+ROUND(Source!AE111*Source!I111, 2))), 2)</f>
        <v>0</v>
      </c>
      <c r="T134" s="52">
        <f>Source!X111</f>
        <v>0</v>
      </c>
      <c r="U134" s="52">
        <f>ROUND((Source!FY111/100)*((ROUND(Source!AF111*Source!I111, 2)+ROUND(Source!AE111*Source!I111, 2))), 2)</f>
        <v>0</v>
      </c>
      <c r="V134" s="52">
        <f>Source!Y111</f>
        <v>0</v>
      </c>
    </row>
    <row r="135" spans="1:26" ht="14.25" x14ac:dyDescent="0.2">
      <c r="A135" s="20"/>
      <c r="B135" s="21"/>
      <c r="C135" s="21" t="s">
        <v>1213</v>
      </c>
      <c r="D135" s="78"/>
      <c r="E135" s="79"/>
      <c r="F135" s="80">
        <f>Source!AL111</f>
        <v>4872</v>
      </c>
      <c r="G135" s="81" t="str">
        <f>Source!DD111</f>
        <v/>
      </c>
      <c r="H135" s="80">
        <f>ROUND(Source!AC111*Source!I111, 2)</f>
        <v>183.19</v>
      </c>
      <c r="I135" s="81"/>
      <c r="J135" s="81">
        <f>IF(Source!BC111&lt;&gt; 0, Source!BC111, 1)</f>
        <v>14</v>
      </c>
      <c r="K135" s="80">
        <f>Source!P111</f>
        <v>2564.62</v>
      </c>
      <c r="L135" s="100"/>
    </row>
    <row r="136" spans="1:26" ht="15" x14ac:dyDescent="0.2">
      <c r="G136" s="83">
        <f>ROUND(Source!AC111*Source!I111, 2)+ROUND(Source!AF111*Source!I111, 2)+ROUND((((Source!ET111)-(Source!EU111))+Source!AE111)*Source!I111, 2)</f>
        <v>183.19</v>
      </c>
      <c r="H136" s="83"/>
      <c r="J136" s="83">
        <f>Source!O111</f>
        <v>2564.62</v>
      </c>
      <c r="K136" s="83"/>
      <c r="L136" s="84">
        <f>Source!U111</f>
        <v>0</v>
      </c>
      <c r="O136" s="85">
        <f>G136</f>
        <v>183.19</v>
      </c>
      <c r="P136" s="85">
        <f>J136</f>
        <v>2564.62</v>
      </c>
      <c r="Q136" s="85">
        <f>L136</f>
        <v>0</v>
      </c>
      <c r="W136" s="52">
        <f>IF(Source!BI111&lt;=1,G136, 0)</f>
        <v>183.19</v>
      </c>
      <c r="X136" s="52">
        <f>IF(Source!BI111=2,G136, 0)</f>
        <v>0</v>
      </c>
      <c r="Y136" s="52">
        <f>IF(Source!BI111=3,G136, 0)</f>
        <v>0</v>
      </c>
      <c r="Z136" s="52">
        <f>IF(Source!BI111=4,G136, 0)</f>
        <v>0</v>
      </c>
    </row>
    <row r="137" spans="1:26" ht="57" x14ac:dyDescent="0.2">
      <c r="A137" s="16" t="str">
        <f>Source!E112</f>
        <v>14</v>
      </c>
      <c r="B137" s="17" t="str">
        <f>Source!F112</f>
        <v>101-1738</v>
      </c>
      <c r="C137" s="17" t="str">
        <f>Source!G112</f>
        <v>Профили холодногнутые из оцинкованной стали толщиной 0,6-0,65 мм, сумма размеров равная ширине исходной заготовки 101-150 мм</v>
      </c>
      <c r="D137" s="71" t="str">
        <f>Source!H112</f>
        <v>т</v>
      </c>
      <c r="E137" s="72">
        <f>Source!I112</f>
        <v>0.05</v>
      </c>
      <c r="F137" s="73">
        <f>IF(Source!AK112&lt;&gt; 0, Source!AK112,Source!AL112 + Source!AM112 + Source!AO112)</f>
        <v>21476</v>
      </c>
      <c r="G137" s="74"/>
      <c r="H137" s="73"/>
      <c r="I137" s="74" t="str">
        <f>Source!BO112</f>
        <v>101-1738</v>
      </c>
      <c r="J137" s="74"/>
      <c r="K137" s="73"/>
      <c r="L137" s="75"/>
      <c r="S137" s="52">
        <f>ROUND((Source!FX112/100)*((ROUND(Source!AF112*Source!I112, 2)+ROUND(Source!AE112*Source!I112, 2))), 2)</f>
        <v>0</v>
      </c>
      <c r="T137" s="52">
        <f>Source!X112</f>
        <v>0</v>
      </c>
      <c r="U137" s="52">
        <f>ROUND((Source!FY112/100)*((ROUND(Source!AF112*Source!I112, 2)+ROUND(Source!AE112*Source!I112, 2))), 2)</f>
        <v>0</v>
      </c>
      <c r="V137" s="52">
        <f>Source!Y112</f>
        <v>0</v>
      </c>
    </row>
    <row r="138" spans="1:26" ht="14.25" x14ac:dyDescent="0.2">
      <c r="A138" s="20"/>
      <c r="B138" s="21"/>
      <c r="C138" s="21" t="s">
        <v>1213</v>
      </c>
      <c r="D138" s="78"/>
      <c r="E138" s="79"/>
      <c r="F138" s="80">
        <f>Source!AL112</f>
        <v>21476</v>
      </c>
      <c r="G138" s="81" t="str">
        <f>Source!DD112</f>
        <v/>
      </c>
      <c r="H138" s="80">
        <f>ROUND(Source!AC112*Source!I112, 2)</f>
        <v>1073.8</v>
      </c>
      <c r="I138" s="81"/>
      <c r="J138" s="81">
        <f>IF(Source!BC112&lt;&gt; 0, Source!BC112, 1)</f>
        <v>6.39</v>
      </c>
      <c r="K138" s="80">
        <f>Source!P112</f>
        <v>6861.58</v>
      </c>
      <c r="L138" s="100"/>
    </row>
    <row r="139" spans="1:26" ht="15" x14ac:dyDescent="0.2">
      <c r="G139" s="83">
        <f>ROUND(Source!AC112*Source!I112, 2)+ROUND(Source!AF112*Source!I112, 2)+ROUND((((Source!ET112)-(Source!EU112))+Source!AE112)*Source!I112, 2)</f>
        <v>1073.8</v>
      </c>
      <c r="H139" s="83"/>
      <c r="J139" s="83">
        <f>Source!O112</f>
        <v>6861.58</v>
      </c>
      <c r="K139" s="83"/>
      <c r="L139" s="84">
        <f>Source!U112</f>
        <v>0</v>
      </c>
      <c r="O139" s="85">
        <f>G139</f>
        <v>1073.8</v>
      </c>
      <c r="P139" s="85">
        <f>J139</f>
        <v>6861.58</v>
      </c>
      <c r="Q139" s="85">
        <f>L139</f>
        <v>0</v>
      </c>
      <c r="W139" s="52">
        <f>IF(Source!BI112&lt;=1,G139, 0)</f>
        <v>1073.8</v>
      </c>
      <c r="X139" s="52">
        <f>IF(Source!BI112=2,G139, 0)</f>
        <v>0</v>
      </c>
      <c r="Y139" s="52">
        <f>IF(Source!BI112=3,G139, 0)</f>
        <v>0</v>
      </c>
      <c r="Z139" s="52">
        <f>IF(Source!BI112=4,G139, 0)</f>
        <v>0</v>
      </c>
    </row>
    <row r="140" spans="1:26" ht="42.75" x14ac:dyDescent="0.2">
      <c r="A140" s="16" t="str">
        <f>Source!E113</f>
        <v>15</v>
      </c>
      <c r="B140" s="17" t="str">
        <f>Source!F113</f>
        <v>09-04-011-1</v>
      </c>
      <c r="C140" s="17" t="str">
        <f>Source!G113</f>
        <v>Монтаж каркасов ворот большепролетных зданий, ангаров и др. без механизмов открывания</v>
      </c>
      <c r="D140" s="71" t="str">
        <f>Source!H113</f>
        <v>1 т конструкций</v>
      </c>
      <c r="E140" s="72">
        <f>Source!I113</f>
        <v>0.23300000000000001</v>
      </c>
      <c r="F140" s="73">
        <f>IF(Source!AK113&lt;&gt; 0, Source!AK113,Source!AL113 + Source!AM113 + Source!AO113)</f>
        <v>3525.36</v>
      </c>
      <c r="G140" s="74"/>
      <c r="H140" s="73"/>
      <c r="I140" s="74" t="str">
        <f>Source!BO113</f>
        <v>09-04-011-1</v>
      </c>
      <c r="J140" s="74"/>
      <c r="K140" s="73"/>
      <c r="L140" s="75"/>
      <c r="S140" s="52">
        <f>ROUND((Source!FX113/100)*((ROUND(Source!AF113*Source!I113, 2)+ROUND(Source!AE113*Source!I113, 2))), 2)</f>
        <v>118.07</v>
      </c>
      <c r="T140" s="52">
        <f>Source!X113</f>
        <v>4164.4799999999996</v>
      </c>
      <c r="U140" s="52">
        <f>ROUND((Source!FY113/100)*((ROUND(Source!AF113*Source!I113, 2)+ROUND(Source!AE113*Source!I113, 2))), 2)</f>
        <v>78.72</v>
      </c>
      <c r="V140" s="52">
        <f>Source!Y113</f>
        <v>2776.32</v>
      </c>
    </row>
    <row r="141" spans="1:26" ht="14.25" x14ac:dyDescent="0.2">
      <c r="A141" s="16"/>
      <c r="B141" s="17"/>
      <c r="C141" s="17" t="s">
        <v>1206</v>
      </c>
      <c r="D141" s="71"/>
      <c r="E141" s="72"/>
      <c r="F141" s="73">
        <f>Source!AO113</f>
        <v>435.88</v>
      </c>
      <c r="G141" s="74" t="str">
        <f>Source!DG113</f>
        <v/>
      </c>
      <c r="H141" s="73">
        <f>ROUND(Source!AF113*Source!I113, 2)</f>
        <v>101.56</v>
      </c>
      <c r="I141" s="74"/>
      <c r="J141" s="74">
        <f>IF(Source!BA113&lt;&gt; 0, Source!BA113, 1)</f>
        <v>35.270000000000003</v>
      </c>
      <c r="K141" s="73">
        <f>Source!S113</f>
        <v>3582.02</v>
      </c>
      <c r="L141" s="75"/>
      <c r="R141" s="52">
        <f>H141</f>
        <v>101.56</v>
      </c>
    </row>
    <row r="142" spans="1:26" ht="14.25" x14ac:dyDescent="0.2">
      <c r="A142" s="16"/>
      <c r="B142" s="17"/>
      <c r="C142" s="17" t="s">
        <v>103</v>
      </c>
      <c r="D142" s="71"/>
      <c r="E142" s="72"/>
      <c r="F142" s="73">
        <f>Source!AM113</f>
        <v>2611.6</v>
      </c>
      <c r="G142" s="74" t="str">
        <f>Source!DE113</f>
        <v/>
      </c>
      <c r="H142" s="73">
        <f>ROUND((((Source!ET113)-(Source!EU113))+Source!AE113)*Source!I113, 2)</f>
        <v>608.5</v>
      </c>
      <c r="I142" s="74"/>
      <c r="J142" s="74">
        <f>IF(Source!BB113&lt;&gt; 0, Source!BB113, 1)</f>
        <v>9.84</v>
      </c>
      <c r="K142" s="73">
        <f>Source!Q113</f>
        <v>5987.67</v>
      </c>
      <c r="L142" s="75"/>
    </row>
    <row r="143" spans="1:26" ht="14.25" x14ac:dyDescent="0.2">
      <c r="A143" s="16"/>
      <c r="B143" s="17"/>
      <c r="C143" s="17" t="s">
        <v>1212</v>
      </c>
      <c r="D143" s="71"/>
      <c r="E143" s="72"/>
      <c r="F143" s="73">
        <f>Source!AN113</f>
        <v>109.02</v>
      </c>
      <c r="G143" s="74" t="str">
        <f>Source!DF113</f>
        <v/>
      </c>
      <c r="H143" s="73">
        <f>ROUND(Source!AE113*Source!I113, 2)</f>
        <v>25.4</v>
      </c>
      <c r="I143" s="74"/>
      <c r="J143" s="74">
        <f>IF(Source!BS113&lt;&gt; 0, Source!BS113, 1)</f>
        <v>35.270000000000003</v>
      </c>
      <c r="K143" s="73">
        <f>Source!R113</f>
        <v>895.92</v>
      </c>
      <c r="L143" s="75"/>
      <c r="R143" s="52">
        <f>H143</f>
        <v>25.4</v>
      </c>
    </row>
    <row r="144" spans="1:26" ht="14.25" x14ac:dyDescent="0.2">
      <c r="A144" s="16"/>
      <c r="B144" s="17"/>
      <c r="C144" s="17" t="s">
        <v>1213</v>
      </c>
      <c r="D144" s="71"/>
      <c r="E144" s="72"/>
      <c r="F144" s="73">
        <f>Source!AL113</f>
        <v>477.88</v>
      </c>
      <c r="G144" s="74" t="str">
        <f>Source!DD113</f>
        <v/>
      </c>
      <c r="H144" s="73">
        <f>ROUND(Source!AC113*Source!I113, 2)</f>
        <v>111.35</v>
      </c>
      <c r="I144" s="74"/>
      <c r="J144" s="74">
        <f>IF(Source!BC113&lt;&gt; 0, Source!BC113, 1)</f>
        <v>13.54</v>
      </c>
      <c r="K144" s="73">
        <f>Source!P113</f>
        <v>1507.63</v>
      </c>
      <c r="L144" s="75"/>
    </row>
    <row r="145" spans="1:33" ht="14.25" x14ac:dyDescent="0.2">
      <c r="A145" s="16"/>
      <c r="B145" s="17"/>
      <c r="C145" s="17" t="s">
        <v>1207</v>
      </c>
      <c r="D145" s="71" t="s">
        <v>1208</v>
      </c>
      <c r="E145" s="72">
        <f>Source!BZ113</f>
        <v>93</v>
      </c>
      <c r="F145" s="76"/>
      <c r="G145" s="74"/>
      <c r="H145" s="73">
        <f>SUM(S140:S148)</f>
        <v>118.07</v>
      </c>
      <c r="I145" s="77"/>
      <c r="J145" s="17">
        <f>Source!AT113</f>
        <v>93</v>
      </c>
      <c r="K145" s="73">
        <f>SUM(T140:T148)</f>
        <v>4164.4799999999996</v>
      </c>
      <c r="L145" s="75"/>
    </row>
    <row r="146" spans="1:33" ht="14.25" x14ac:dyDescent="0.2">
      <c r="A146" s="16"/>
      <c r="B146" s="17"/>
      <c r="C146" s="17" t="s">
        <v>1209</v>
      </c>
      <c r="D146" s="71" t="s">
        <v>1208</v>
      </c>
      <c r="E146" s="72">
        <f>Source!CA113</f>
        <v>62</v>
      </c>
      <c r="F146" s="76"/>
      <c r="G146" s="74"/>
      <c r="H146" s="73">
        <f>SUM(U140:U148)</f>
        <v>78.72</v>
      </c>
      <c r="I146" s="77"/>
      <c r="J146" s="17">
        <f>Source!AU113</f>
        <v>62</v>
      </c>
      <c r="K146" s="73">
        <f>SUM(V140:V148)</f>
        <v>2776.32</v>
      </c>
      <c r="L146" s="75"/>
    </row>
    <row r="147" spans="1:33" ht="14.25" x14ac:dyDescent="0.2">
      <c r="A147" s="16"/>
      <c r="B147" s="17"/>
      <c r="C147" s="17" t="s">
        <v>1210</v>
      </c>
      <c r="D147" s="71" t="s">
        <v>1211</v>
      </c>
      <c r="E147" s="72">
        <f>Source!AQ113</f>
        <v>46.37</v>
      </c>
      <c r="F147" s="73"/>
      <c r="G147" s="74" t="str">
        <f>Source!DI113</f>
        <v/>
      </c>
      <c r="H147" s="73"/>
      <c r="I147" s="74"/>
      <c r="J147" s="74"/>
      <c r="K147" s="73"/>
      <c r="L147" s="89">
        <f>Source!U113</f>
        <v>10.804209999999999</v>
      </c>
    </row>
    <row r="148" spans="1:33" ht="14.25" x14ac:dyDescent="0.2">
      <c r="A148" s="90" t="str">
        <f>Source!E115</f>
        <v>15,2</v>
      </c>
      <c r="B148" s="90" t="str">
        <f>Source!F115</f>
        <v>201-9002</v>
      </c>
      <c r="C148" s="90" t="str">
        <f>Source!G115</f>
        <v>Конструкции стальные</v>
      </c>
      <c r="D148" s="91" t="str">
        <f>Source!H115</f>
        <v>т</v>
      </c>
      <c r="E148" s="92">
        <f>Source!I115</f>
        <v>0.23300000000000001</v>
      </c>
      <c r="F148" s="93">
        <f>Source!AK115</f>
        <v>0</v>
      </c>
      <c r="G148" s="94" t="s">
        <v>3</v>
      </c>
      <c r="H148" s="93">
        <f>ROUND(Source!AC115*Source!I115, 2)+ROUND((((Source!ET115)-(Source!EU115))+Source!AE115)*Source!I115, 2)+ROUND(Source!AF115*Source!I115, 2)</f>
        <v>0</v>
      </c>
      <c r="I148" s="91"/>
      <c r="J148" s="91">
        <f>IF(Source!BC115&lt;&gt; 0, Source!BC115, 1)</f>
        <v>1</v>
      </c>
      <c r="K148" s="93">
        <f>Source!O115</f>
        <v>0</v>
      </c>
      <c r="L148" s="93"/>
      <c r="S148" s="52">
        <f>ROUND((Source!FX115/100)*((ROUND(Source!AF115*Source!I115, 2)+ROUND(Source!AE115*Source!I115, 2))), 2)</f>
        <v>0</v>
      </c>
      <c r="T148" s="52">
        <f>Source!X115</f>
        <v>0</v>
      </c>
      <c r="U148" s="52">
        <f>ROUND((Source!FY115/100)*((ROUND(Source!AF115*Source!I115, 2)+ROUND(Source!AE115*Source!I115, 2))), 2)</f>
        <v>0</v>
      </c>
      <c r="V148" s="52">
        <f>Source!Y115</f>
        <v>0</v>
      </c>
      <c r="Y148" s="52">
        <f>IF(Source!BI115=3,H148, 0)</f>
        <v>0</v>
      </c>
      <c r="AA148" s="52">
        <f>ROUND(Source!AC115*Source!I115, 2)+ROUND((((Source!ET115)-(Source!EU115))+Source!AE115)*Source!I115, 2)+ROUND(Source!AF115*Source!I115, 2)</f>
        <v>0</v>
      </c>
      <c r="AB148" s="52">
        <f>Source!O115</f>
        <v>0</v>
      </c>
    </row>
    <row r="149" spans="1:33" ht="15" x14ac:dyDescent="0.2">
      <c r="G149" s="83">
        <f>ROUND(Source!AC113*Source!I113, 2)+ROUND(Source!AF113*Source!I113, 2)+ROUND((((Source!ET113)-(Source!EU113))+Source!AE113)*Source!I113, 2)+SUM(H145:H146)+SUM(AA148:AA148)</f>
        <v>1018.1999999999999</v>
      </c>
      <c r="H149" s="83"/>
      <c r="J149" s="83">
        <f>Source!O113+SUM(K145:K146)+SUM(AB148:AB148)</f>
        <v>18018.12</v>
      </c>
      <c r="K149" s="83"/>
      <c r="L149" s="84">
        <f>Source!U113</f>
        <v>10.804209999999999</v>
      </c>
      <c r="O149" s="85">
        <f>G149</f>
        <v>1018.1999999999999</v>
      </c>
      <c r="P149" s="85">
        <f>J149</f>
        <v>18018.12</v>
      </c>
      <c r="Q149" s="85">
        <f>L149</f>
        <v>10.804209999999999</v>
      </c>
      <c r="W149" s="52">
        <f>IF(Source!BI113&lt;=1,G149, 0)</f>
        <v>1018.1999999999999</v>
      </c>
      <c r="X149" s="52">
        <f>IF(Source!BI113=2,G149, 0)</f>
        <v>0</v>
      </c>
      <c r="Y149" s="52">
        <f>IF(Source!BI113=3,G149, 0)</f>
        <v>0</v>
      </c>
      <c r="Z149" s="52">
        <f>IF(Source!BI113=4,G149, 0)</f>
        <v>0</v>
      </c>
    </row>
    <row r="151" spans="1:33" ht="15" x14ac:dyDescent="0.2">
      <c r="A151" s="86" t="str">
        <f>CONCATENATE("Итого по подразделу: ", Source!G117)</f>
        <v>Итого по подразделу: Ворота</v>
      </c>
      <c r="B151" s="86"/>
      <c r="C151" s="86"/>
      <c r="D151" s="86"/>
      <c r="E151" s="86"/>
      <c r="F151" s="86"/>
      <c r="G151" s="83">
        <f>SUM(O99:O150)</f>
        <v>4668.74</v>
      </c>
      <c r="H151" s="64"/>
      <c r="I151" s="87"/>
      <c r="J151" s="83">
        <f>SUM(P99:P150)</f>
        <v>68171.02</v>
      </c>
      <c r="K151" s="64"/>
      <c r="L151" s="84">
        <f>SUM(Q99:Q150)</f>
        <v>39.47701</v>
      </c>
      <c r="AG151" s="88" t="str">
        <f>CONCATENATE("Итого по подразделу: ", Source!G117)</f>
        <v>Итого по подразделу: Ворота</v>
      </c>
    </row>
    <row r="153" spans="1:33" ht="14.25" x14ac:dyDescent="0.2">
      <c r="C153" s="17" t="str">
        <f>Source!H146</f>
        <v>ОЗП</v>
      </c>
      <c r="J153" s="65">
        <f>Source!F146</f>
        <v>12647.87</v>
      </c>
      <c r="K153" s="65"/>
    </row>
    <row r="154" spans="1:33" ht="14.25" x14ac:dyDescent="0.2">
      <c r="C154" s="17" t="str">
        <f>Source!H147</f>
        <v>ЭММ, в т.ч. ЗПМ</v>
      </c>
      <c r="J154" s="65">
        <f>Source!F147</f>
        <v>7593.8</v>
      </c>
      <c r="K154" s="65"/>
    </row>
    <row r="155" spans="1:33" ht="14.25" x14ac:dyDescent="0.2">
      <c r="C155" s="17" t="str">
        <f>Source!H148</f>
        <v>Стоимость материалов</v>
      </c>
      <c r="J155" s="65">
        <f>Source!F148</f>
        <v>28292.73</v>
      </c>
      <c r="K155" s="65"/>
    </row>
    <row r="156" spans="1:33" ht="14.25" x14ac:dyDescent="0.2">
      <c r="C156" s="17" t="str">
        <f>Source!H149</f>
        <v>НР</v>
      </c>
      <c r="J156" s="65">
        <f>Source!F149</f>
        <v>12589.93</v>
      </c>
      <c r="K156" s="65"/>
    </row>
    <row r="157" spans="1:33" ht="14.25" x14ac:dyDescent="0.2">
      <c r="C157" s="17" t="str">
        <f>Source!H150</f>
        <v>СП</v>
      </c>
      <c r="J157" s="65">
        <f>Source!F150</f>
        <v>7046.69</v>
      </c>
      <c r="K157" s="65"/>
    </row>
    <row r="158" spans="1:33" ht="14.25" x14ac:dyDescent="0.2">
      <c r="C158" s="17" t="str">
        <f>Source!H151</f>
        <v>Всего</v>
      </c>
      <c r="J158" s="65">
        <f>Source!F151</f>
        <v>68171.02</v>
      </c>
      <c r="K158" s="65"/>
    </row>
    <row r="159" spans="1:33" ht="14.25" x14ac:dyDescent="0.2">
      <c r="C159" s="17" t="str">
        <f>Source!H152</f>
        <v>НДС 20%</v>
      </c>
      <c r="J159" s="65">
        <f>Source!F152</f>
        <v>13634.2</v>
      </c>
      <c r="K159" s="65"/>
    </row>
    <row r="160" spans="1:33" ht="14.25" x14ac:dyDescent="0.2">
      <c r="C160" s="17" t="str">
        <f>Source!H153</f>
        <v>Итого с НДС</v>
      </c>
      <c r="J160" s="65">
        <f>Source!F153</f>
        <v>81805.22</v>
      </c>
      <c r="K160" s="65"/>
    </row>
    <row r="163" spans="1:31" ht="16.5" x14ac:dyDescent="0.2">
      <c r="A163" s="69" t="str">
        <f>CONCATENATE("Подраздел: ", Source!G155)</f>
        <v>Подраздел: Калитка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AE163" s="70" t="str">
        <f>CONCATENATE("Подраздел: ", Source!G155)</f>
        <v>Подраздел: Калитка</v>
      </c>
    </row>
    <row r="164" spans="1:31" ht="42.75" x14ac:dyDescent="0.2">
      <c r="A164" s="16" t="str">
        <f>Source!E159</f>
        <v>16</v>
      </c>
      <c r="B164" s="17" t="str">
        <f>Source!F159</f>
        <v>07-01-055-9</v>
      </c>
      <c r="C164" s="17" t="str">
        <f>Source!G159</f>
        <v>Устройство калиток без установки столбов при металлических оградах и оградах из панелей</v>
      </c>
      <c r="D164" s="71" t="str">
        <f>Source!H159</f>
        <v>100 шт.</v>
      </c>
      <c r="E164" s="72">
        <f>Source!I159</f>
        <v>0.01</v>
      </c>
      <c r="F164" s="73">
        <f>IF(Source!AK159&lt;&gt; 0, Source!AK159,Source!AL159 + Source!AM159 + Source!AO159)</f>
        <v>924.06</v>
      </c>
      <c r="G164" s="74"/>
      <c r="H164" s="73"/>
      <c r="I164" s="74" t="str">
        <f>Source!BO159</f>
        <v>07-01-055-9</v>
      </c>
      <c r="J164" s="74"/>
      <c r="K164" s="73"/>
      <c r="L164" s="75"/>
      <c r="S164" s="52">
        <f>ROUND((Source!FX159/100)*((ROUND(Source!AF159*Source!I159, 2)+ROUND(Source!AE159*Source!I159, 2))), 2)</f>
        <v>6.79</v>
      </c>
      <c r="T164" s="52">
        <f>Source!X159</f>
        <v>239.31</v>
      </c>
      <c r="U164" s="52">
        <f>ROUND((Source!FY159/100)*((ROUND(Source!AF159*Source!I159, 2)+ROUND(Source!AE159*Source!I159, 2))), 2)</f>
        <v>4.5</v>
      </c>
      <c r="V164" s="52">
        <f>Source!Y159</f>
        <v>158.81</v>
      </c>
    </row>
    <row r="165" spans="1:31" x14ac:dyDescent="0.2">
      <c r="C165" s="18" t="str">
        <f>"Объем: "&amp;Source!I159&amp;"=1/"&amp;"100"</f>
        <v>Объем: 0,01=1/100</v>
      </c>
    </row>
    <row r="166" spans="1:31" ht="14.25" x14ac:dyDescent="0.2">
      <c r="A166" s="16"/>
      <c r="B166" s="17"/>
      <c r="C166" s="17" t="s">
        <v>1206</v>
      </c>
      <c r="D166" s="71"/>
      <c r="E166" s="72"/>
      <c r="F166" s="73">
        <f>Source!AO159</f>
        <v>616.79999999999995</v>
      </c>
      <c r="G166" s="74" t="str">
        <f>Source!DG159</f>
        <v/>
      </c>
      <c r="H166" s="73">
        <f>ROUND(Source!AF159*Source!I159, 2)</f>
        <v>6.17</v>
      </c>
      <c r="I166" s="74"/>
      <c r="J166" s="74">
        <f>IF(Source!BA159&lt;&gt; 0, Source!BA159, 1)</f>
        <v>35.270000000000003</v>
      </c>
      <c r="K166" s="73">
        <f>Source!S159</f>
        <v>217.55</v>
      </c>
      <c r="L166" s="75"/>
      <c r="R166" s="52">
        <f>H166</f>
        <v>6.17</v>
      </c>
    </row>
    <row r="167" spans="1:31" ht="14.25" x14ac:dyDescent="0.2">
      <c r="A167" s="16"/>
      <c r="B167" s="17"/>
      <c r="C167" s="17" t="s">
        <v>103</v>
      </c>
      <c r="D167" s="71"/>
      <c r="E167" s="72"/>
      <c r="F167" s="73">
        <f>Source!AM159</f>
        <v>118.78</v>
      </c>
      <c r="G167" s="74" t="str">
        <f>Source!DE159</f>
        <v/>
      </c>
      <c r="H167" s="73">
        <f>ROUND((((Source!ET159)-(Source!EU159))+Source!AE159)*Source!I159, 2)</f>
        <v>1.19</v>
      </c>
      <c r="I167" s="74"/>
      <c r="J167" s="74">
        <f>IF(Source!BB159&lt;&gt; 0, Source!BB159, 1)</f>
        <v>8.81</v>
      </c>
      <c r="K167" s="73">
        <f>Source!Q159</f>
        <v>10.46</v>
      </c>
      <c r="L167" s="75"/>
    </row>
    <row r="168" spans="1:31" ht="14.25" x14ac:dyDescent="0.2">
      <c r="A168" s="16"/>
      <c r="B168" s="17"/>
      <c r="C168" s="17" t="s">
        <v>1213</v>
      </c>
      <c r="D168" s="71"/>
      <c r="E168" s="72"/>
      <c r="F168" s="73">
        <f>Source!AL159</f>
        <v>188.48</v>
      </c>
      <c r="G168" s="74" t="str">
        <f>Source!DD159</f>
        <v/>
      </c>
      <c r="H168" s="73">
        <f>ROUND(Source!AC159*Source!I159, 2)</f>
        <v>1.88</v>
      </c>
      <c r="I168" s="74"/>
      <c r="J168" s="74">
        <f>IF(Source!BC159&lt;&gt; 0, Source!BC159, 1)</f>
        <v>15.75</v>
      </c>
      <c r="K168" s="73">
        <f>Source!P159</f>
        <v>29.69</v>
      </c>
      <c r="L168" s="75"/>
    </row>
    <row r="169" spans="1:31" ht="14.25" x14ac:dyDescent="0.2">
      <c r="A169" s="16"/>
      <c r="B169" s="17"/>
      <c r="C169" s="17" t="s">
        <v>1207</v>
      </c>
      <c r="D169" s="71" t="s">
        <v>1208</v>
      </c>
      <c r="E169" s="72">
        <f>Source!BZ159</f>
        <v>110</v>
      </c>
      <c r="F169" s="76"/>
      <c r="G169" s="74"/>
      <c r="H169" s="73">
        <f>SUM(S164:S172)</f>
        <v>6.79</v>
      </c>
      <c r="I169" s="77"/>
      <c r="J169" s="17">
        <f>Source!AT159</f>
        <v>110</v>
      </c>
      <c r="K169" s="73">
        <f>SUM(T164:T172)</f>
        <v>239.31</v>
      </c>
      <c r="L169" s="75"/>
    </row>
    <row r="170" spans="1:31" ht="14.25" x14ac:dyDescent="0.2">
      <c r="A170" s="16"/>
      <c r="B170" s="17"/>
      <c r="C170" s="17" t="s">
        <v>1209</v>
      </c>
      <c r="D170" s="71" t="s">
        <v>1208</v>
      </c>
      <c r="E170" s="72">
        <f>Source!CA159</f>
        <v>73</v>
      </c>
      <c r="F170" s="76"/>
      <c r="G170" s="74"/>
      <c r="H170" s="73">
        <f>SUM(U164:U172)</f>
        <v>4.5</v>
      </c>
      <c r="I170" s="77"/>
      <c r="J170" s="17">
        <f>Source!AU159</f>
        <v>73</v>
      </c>
      <c r="K170" s="73">
        <f>SUM(V164:V172)</f>
        <v>158.81</v>
      </c>
      <c r="L170" s="75"/>
    </row>
    <row r="171" spans="1:31" ht="14.25" x14ac:dyDescent="0.2">
      <c r="A171" s="16"/>
      <c r="B171" s="17"/>
      <c r="C171" s="17" t="s">
        <v>1210</v>
      </c>
      <c r="D171" s="71" t="s">
        <v>1211</v>
      </c>
      <c r="E171" s="72">
        <f>Source!AQ159</f>
        <v>77.39</v>
      </c>
      <c r="F171" s="73"/>
      <c r="G171" s="74" t="str">
        <f>Source!DI159</f>
        <v/>
      </c>
      <c r="H171" s="73"/>
      <c r="I171" s="74"/>
      <c r="J171" s="74"/>
      <c r="K171" s="73"/>
      <c r="L171" s="89">
        <f>Source!U159</f>
        <v>0.77390000000000003</v>
      </c>
    </row>
    <row r="172" spans="1:31" ht="14.25" x14ac:dyDescent="0.2">
      <c r="A172" s="90" t="str">
        <f>Source!E160</f>
        <v>16,1</v>
      </c>
      <c r="B172" s="90" t="str">
        <f>Source!F160</f>
        <v>201-9110</v>
      </c>
      <c r="C172" s="90" t="str">
        <f>Source!G160</f>
        <v>Полотна калиток</v>
      </c>
      <c r="D172" s="91" t="str">
        <f>Source!H160</f>
        <v>шт.</v>
      </c>
      <c r="E172" s="92">
        <f>Source!I160</f>
        <v>1</v>
      </c>
      <c r="F172" s="93">
        <f>Source!AK160</f>
        <v>0</v>
      </c>
      <c r="G172" s="94" t="s">
        <v>3</v>
      </c>
      <c r="H172" s="93">
        <f>ROUND(Source!AC160*Source!I160, 2)+ROUND((((Source!ET160)-(Source!EU160))+Source!AE160)*Source!I160, 2)+ROUND(Source!AF160*Source!I160, 2)</f>
        <v>0</v>
      </c>
      <c r="I172" s="91"/>
      <c r="J172" s="91">
        <f>IF(Source!BC160&lt;&gt; 0, Source!BC160, 1)</f>
        <v>1</v>
      </c>
      <c r="K172" s="93">
        <f>Source!O160</f>
        <v>0</v>
      </c>
      <c r="L172" s="93"/>
      <c r="S172" s="52">
        <f>ROUND((Source!FX160/100)*((ROUND(Source!AF160*Source!I160, 2)+ROUND(Source!AE160*Source!I160, 2))), 2)</f>
        <v>0</v>
      </c>
      <c r="T172" s="52">
        <f>Source!X160</f>
        <v>0</v>
      </c>
      <c r="U172" s="52">
        <f>ROUND((Source!FY160/100)*((ROUND(Source!AF160*Source!I160, 2)+ROUND(Source!AE160*Source!I160, 2))), 2)</f>
        <v>0</v>
      </c>
      <c r="V172" s="52">
        <f>Source!Y160</f>
        <v>0</v>
      </c>
      <c r="Y172" s="52">
        <f>IF(Source!BI160=3,H172, 0)</f>
        <v>0</v>
      </c>
      <c r="AA172" s="52">
        <f>ROUND(Source!AC160*Source!I160, 2)+ROUND((((Source!ET160)-(Source!EU160))+Source!AE160)*Source!I160, 2)+ROUND(Source!AF160*Source!I160, 2)</f>
        <v>0</v>
      </c>
      <c r="AB172" s="52">
        <f>Source!O160</f>
        <v>0</v>
      </c>
    </row>
    <row r="173" spans="1:31" ht="15" x14ac:dyDescent="0.2">
      <c r="G173" s="83">
        <f>ROUND(Source!AC159*Source!I159, 2)+ROUND(Source!AF159*Source!I159, 2)+ROUND((((Source!ET159)-(Source!EU159))+Source!AE159)*Source!I159, 2)+SUM(H169:H170)+SUM(AA172:AA172)</f>
        <v>20.53</v>
      </c>
      <c r="H173" s="83"/>
      <c r="J173" s="83">
        <f>Source!O159+SUM(K169:K170)+SUM(AB172:AB172)</f>
        <v>655.81999999999994</v>
      </c>
      <c r="K173" s="83"/>
      <c r="L173" s="84">
        <f>Source!U159</f>
        <v>0.77390000000000003</v>
      </c>
      <c r="O173" s="85">
        <f>G173</f>
        <v>20.53</v>
      </c>
      <c r="P173" s="85">
        <f>J173</f>
        <v>655.81999999999994</v>
      </c>
      <c r="Q173" s="85">
        <f>L173</f>
        <v>0.77390000000000003</v>
      </c>
      <c r="W173" s="52">
        <f>IF(Source!BI159&lt;=1,G173, 0)</f>
        <v>20.53</v>
      </c>
      <c r="X173" s="52">
        <f>IF(Source!BI159=2,G173, 0)</f>
        <v>0</v>
      </c>
      <c r="Y173" s="52">
        <f>IF(Source!BI159=3,G173, 0)</f>
        <v>0</v>
      </c>
      <c r="Z173" s="52">
        <f>IF(Source!BI159=4,G173, 0)</f>
        <v>0</v>
      </c>
    </row>
    <row r="174" spans="1:31" ht="28.5" x14ac:dyDescent="0.2">
      <c r="A174" s="16" t="str">
        <f>Source!E161</f>
        <v>17</v>
      </c>
      <c r="B174" s="17" t="str">
        <f>Source!F161</f>
        <v>203-0587</v>
      </c>
      <c r="C174" s="17" t="str">
        <f>Source!G161</f>
        <v>Полотна калиток решетчатые высотой до 2,0 м</v>
      </c>
      <c r="D174" s="71" t="str">
        <f>Source!H161</f>
        <v>м2</v>
      </c>
      <c r="E174" s="72">
        <f>Source!I161</f>
        <v>1.8</v>
      </c>
      <c r="F174" s="73">
        <f>IF(Source!AK161&lt;&gt; 0, Source!AK161,Source!AL161 + Source!AM161 + Source!AO161)</f>
        <v>178.64</v>
      </c>
      <c r="G174" s="74"/>
      <c r="H174" s="73"/>
      <c r="I174" s="74" t="str">
        <f>Source!BO161</f>
        <v>203-0587</v>
      </c>
      <c r="J174" s="74"/>
      <c r="K174" s="73"/>
      <c r="L174" s="75"/>
      <c r="S174" s="52">
        <f>ROUND((Source!FX161/100)*((ROUND(Source!AF161*Source!I161, 2)+ROUND(Source!AE161*Source!I161, 2))), 2)</f>
        <v>0</v>
      </c>
      <c r="T174" s="52">
        <f>Source!X161</f>
        <v>0</v>
      </c>
      <c r="U174" s="52">
        <f>ROUND((Source!FY161/100)*((ROUND(Source!AF161*Source!I161, 2)+ROUND(Source!AE161*Source!I161, 2))), 2)</f>
        <v>0</v>
      </c>
      <c r="V174" s="52">
        <f>Source!Y161</f>
        <v>0</v>
      </c>
    </row>
    <row r="175" spans="1:31" ht="14.25" x14ac:dyDescent="0.2">
      <c r="A175" s="20"/>
      <c r="B175" s="21"/>
      <c r="C175" s="21" t="s">
        <v>1213</v>
      </c>
      <c r="D175" s="78"/>
      <c r="E175" s="79"/>
      <c r="F175" s="80">
        <f>Source!AL161</f>
        <v>178.64</v>
      </c>
      <c r="G175" s="81" t="str">
        <f>Source!DD161</f>
        <v/>
      </c>
      <c r="H175" s="80">
        <f>ROUND(Source!AC161*Source!I161, 2)</f>
        <v>321.55</v>
      </c>
      <c r="I175" s="81"/>
      <c r="J175" s="81">
        <f>IF(Source!BC161&lt;&gt; 0, Source!BC161, 1)</f>
        <v>8.65</v>
      </c>
      <c r="K175" s="80">
        <f>Source!P161</f>
        <v>2781.42</v>
      </c>
      <c r="L175" s="100"/>
    </row>
    <row r="176" spans="1:31" ht="15" x14ac:dyDescent="0.2">
      <c r="G176" s="83">
        <f>ROUND(Source!AC161*Source!I161, 2)+ROUND(Source!AF161*Source!I161, 2)+ROUND((((Source!ET161)-(Source!EU161))+Source!AE161)*Source!I161, 2)</f>
        <v>321.55</v>
      </c>
      <c r="H176" s="83"/>
      <c r="J176" s="83">
        <f>Source!O161</f>
        <v>2781.42</v>
      </c>
      <c r="K176" s="83"/>
      <c r="L176" s="84">
        <f>Source!U161</f>
        <v>0</v>
      </c>
      <c r="O176" s="85">
        <f>G176</f>
        <v>321.55</v>
      </c>
      <c r="P176" s="85">
        <f>J176</f>
        <v>2781.42</v>
      </c>
      <c r="Q176" s="85">
        <f>L176</f>
        <v>0</v>
      </c>
      <c r="W176" s="52">
        <f>IF(Source!BI161&lt;=1,G176, 0)</f>
        <v>321.55</v>
      </c>
      <c r="X176" s="52">
        <f>IF(Source!BI161=2,G176, 0)</f>
        <v>0</v>
      </c>
      <c r="Y176" s="52">
        <f>IF(Source!BI161=3,G176, 0)</f>
        <v>0</v>
      </c>
      <c r="Z176" s="52">
        <f>IF(Source!BI161=4,G176, 0)</f>
        <v>0</v>
      </c>
    </row>
    <row r="177" spans="1:33" ht="42.75" x14ac:dyDescent="0.2">
      <c r="A177" s="16" t="str">
        <f>Source!E162</f>
        <v>18</v>
      </c>
      <c r="B177" s="17" t="str">
        <f>Source!F162</f>
        <v>201-0778</v>
      </c>
      <c r="C177" s="17" t="str">
        <f>Source!G162</f>
        <v>Прочие индивидуальные сварные конструкции, масса сборочной единицы до 0,1 т (столбы)</v>
      </c>
      <c r="D177" s="71" t="str">
        <f>Source!H162</f>
        <v>т</v>
      </c>
      <c r="E177" s="72">
        <f>Source!I162</f>
        <v>5.9249999999999997E-3</v>
      </c>
      <c r="F177" s="73">
        <f>IF(Source!AK162&lt;&gt; 0, Source!AK162,Source!AL162 + Source!AM162 + Source!AO162)</f>
        <v>11315</v>
      </c>
      <c r="G177" s="74"/>
      <c r="H177" s="73"/>
      <c r="I177" s="74" t="str">
        <f>Source!BO162</f>
        <v>201-0778</v>
      </c>
      <c r="J177" s="74"/>
      <c r="K177" s="73"/>
      <c r="L177" s="75"/>
      <c r="S177" s="52">
        <f>ROUND((Source!FX162/100)*((ROUND(Source!AF162*Source!I162, 2)+ROUND(Source!AE162*Source!I162, 2))), 2)</f>
        <v>0</v>
      </c>
      <c r="T177" s="52">
        <f>Source!X162</f>
        <v>0</v>
      </c>
      <c r="U177" s="52">
        <f>ROUND((Source!FY162/100)*((ROUND(Source!AF162*Source!I162, 2)+ROUND(Source!AE162*Source!I162, 2))), 2)</f>
        <v>0</v>
      </c>
      <c r="V177" s="52">
        <f>Source!Y162</f>
        <v>0</v>
      </c>
    </row>
    <row r="178" spans="1:33" ht="14.25" x14ac:dyDescent="0.2">
      <c r="A178" s="20"/>
      <c r="B178" s="21"/>
      <c r="C178" s="21" t="s">
        <v>1213</v>
      </c>
      <c r="D178" s="78"/>
      <c r="E178" s="79"/>
      <c r="F178" s="80">
        <f>Source!AL162</f>
        <v>11315</v>
      </c>
      <c r="G178" s="81" t="str">
        <f>Source!DD162</f>
        <v/>
      </c>
      <c r="H178" s="80">
        <f>ROUND(Source!AC162*Source!I162, 2)</f>
        <v>67.040000000000006</v>
      </c>
      <c r="I178" s="81"/>
      <c r="J178" s="81">
        <f>IF(Source!BC162&lt;&gt; 0, Source!BC162, 1)</f>
        <v>10.11</v>
      </c>
      <c r="K178" s="80">
        <f>Source!P162</f>
        <v>677.79</v>
      </c>
      <c r="L178" s="100"/>
    </row>
    <row r="179" spans="1:33" ht="15" x14ac:dyDescent="0.2">
      <c r="G179" s="83">
        <f>ROUND(Source!AC162*Source!I162, 2)+ROUND(Source!AF162*Source!I162, 2)+ROUND((((Source!ET162)-(Source!EU162))+Source!AE162)*Source!I162, 2)</f>
        <v>67.040000000000006</v>
      </c>
      <c r="H179" s="83"/>
      <c r="J179" s="83">
        <f>Source!O162</f>
        <v>677.79</v>
      </c>
      <c r="K179" s="83"/>
      <c r="L179" s="84">
        <f>Source!U162</f>
        <v>0</v>
      </c>
      <c r="O179" s="85">
        <f>G179</f>
        <v>67.040000000000006</v>
      </c>
      <c r="P179" s="85">
        <f>J179</f>
        <v>677.79</v>
      </c>
      <c r="Q179" s="85">
        <f>L179</f>
        <v>0</v>
      </c>
      <c r="W179" s="52">
        <f>IF(Source!BI162&lt;=1,G179, 0)</f>
        <v>67.040000000000006</v>
      </c>
      <c r="X179" s="52">
        <f>IF(Source!BI162=2,G179, 0)</f>
        <v>0</v>
      </c>
      <c r="Y179" s="52">
        <f>IF(Source!BI162=3,G179, 0)</f>
        <v>0</v>
      </c>
      <c r="Z179" s="52">
        <f>IF(Source!BI162=4,G179, 0)</f>
        <v>0</v>
      </c>
    </row>
    <row r="180" spans="1:33" ht="14.25" x14ac:dyDescent="0.2">
      <c r="A180" s="16" t="str">
        <f>Source!E163</f>
        <v>19</v>
      </c>
      <c r="B180" s="17" t="str">
        <f>Source!F163</f>
        <v>509-3594</v>
      </c>
      <c r="C180" s="17" t="str">
        <f>Source!G163</f>
        <v>Заглушка для короба 60х60 мм</v>
      </c>
      <c r="D180" s="71" t="str">
        <f>Source!H163</f>
        <v>шт.</v>
      </c>
      <c r="E180" s="72">
        <f>Source!I163</f>
        <v>6</v>
      </c>
      <c r="F180" s="73">
        <f>IF(Source!AK163&lt;&gt; 0, Source!AK163,Source!AL163 + Source!AM163 + Source!AO163)</f>
        <v>8.82</v>
      </c>
      <c r="G180" s="74"/>
      <c r="H180" s="73"/>
      <c r="I180" s="74" t="str">
        <f>Source!BO163</f>
        <v>509-3594</v>
      </c>
      <c r="J180" s="74"/>
      <c r="K180" s="73"/>
      <c r="L180" s="75"/>
      <c r="S180" s="52">
        <f>ROUND((Source!FX163/100)*((ROUND(Source!AF163*Source!I163, 2)+ROUND(Source!AE163*Source!I163, 2))), 2)</f>
        <v>0</v>
      </c>
      <c r="T180" s="52">
        <f>Source!X163</f>
        <v>0</v>
      </c>
      <c r="U180" s="52">
        <f>ROUND((Source!FY163/100)*((ROUND(Source!AF163*Source!I163, 2)+ROUND(Source!AE163*Source!I163, 2))), 2)</f>
        <v>0</v>
      </c>
      <c r="V180" s="52">
        <f>Source!Y163</f>
        <v>0</v>
      </c>
    </row>
    <row r="181" spans="1:33" ht="14.25" x14ac:dyDescent="0.2">
      <c r="A181" s="20"/>
      <c r="B181" s="21"/>
      <c r="C181" s="21" t="s">
        <v>1213</v>
      </c>
      <c r="D181" s="78"/>
      <c r="E181" s="79"/>
      <c r="F181" s="80">
        <f>Source!AL163</f>
        <v>8.82</v>
      </c>
      <c r="G181" s="81" t="str">
        <f>Source!DD163</f>
        <v/>
      </c>
      <c r="H181" s="80">
        <f>ROUND(Source!AC163*Source!I163, 2)</f>
        <v>52.92</v>
      </c>
      <c r="I181" s="81"/>
      <c r="J181" s="81">
        <f>IF(Source!BC163&lt;&gt; 0, Source!BC163, 1)</f>
        <v>8.8699999999999992</v>
      </c>
      <c r="K181" s="80">
        <f>Source!P163</f>
        <v>469.4</v>
      </c>
      <c r="L181" s="100"/>
    </row>
    <row r="182" spans="1:33" ht="15" x14ac:dyDescent="0.2">
      <c r="G182" s="83">
        <f>ROUND(Source!AC163*Source!I163, 2)+ROUND(Source!AF163*Source!I163, 2)+ROUND((((Source!ET163)-(Source!EU163))+Source!AE163)*Source!I163, 2)</f>
        <v>52.92</v>
      </c>
      <c r="H182" s="83"/>
      <c r="J182" s="83">
        <f>Source!O163</f>
        <v>469.4</v>
      </c>
      <c r="K182" s="83"/>
      <c r="L182" s="84">
        <f>Source!U163</f>
        <v>0</v>
      </c>
      <c r="O182" s="85">
        <f>G182</f>
        <v>52.92</v>
      </c>
      <c r="P182" s="85">
        <f>J182</f>
        <v>469.4</v>
      </c>
      <c r="Q182" s="85">
        <f>L182</f>
        <v>0</v>
      </c>
      <c r="W182" s="52">
        <f>IF(Source!BI163&lt;=1,G182, 0)</f>
        <v>0</v>
      </c>
      <c r="X182" s="52">
        <f>IF(Source!BI163=2,G182, 0)</f>
        <v>52.92</v>
      </c>
      <c r="Y182" s="52">
        <f>IF(Source!BI163=3,G182, 0)</f>
        <v>0</v>
      </c>
      <c r="Z182" s="52">
        <f>IF(Source!BI163=4,G182, 0)</f>
        <v>0</v>
      </c>
    </row>
    <row r="183" spans="1:33" ht="14.25" x14ac:dyDescent="0.2">
      <c r="A183" s="16" t="str">
        <f>Source!E164</f>
        <v>20</v>
      </c>
      <c r="B183" s="17" t="str">
        <f>Source!F164</f>
        <v>101-0956</v>
      </c>
      <c r="C183" s="17" t="str">
        <f>Source!G164</f>
        <v>Петля накладная</v>
      </c>
      <c r="D183" s="71" t="str">
        <f>Source!H164</f>
        <v>шт.</v>
      </c>
      <c r="E183" s="72">
        <f>Source!I164</f>
        <v>2</v>
      </c>
      <c r="F183" s="73">
        <f>IF(Source!AK164&lt;&gt; 0, Source!AK164,Source!AL164 + Source!AM164 + Source!AO164)</f>
        <v>12</v>
      </c>
      <c r="G183" s="74"/>
      <c r="H183" s="73"/>
      <c r="I183" s="74" t="str">
        <f>Source!BO164</f>
        <v>101-0956</v>
      </c>
      <c r="J183" s="74"/>
      <c r="K183" s="73"/>
      <c r="L183" s="75"/>
      <c r="S183" s="52">
        <f>ROUND((Source!FX164/100)*((ROUND(Source!AF164*Source!I164, 2)+ROUND(Source!AE164*Source!I164, 2))), 2)</f>
        <v>0</v>
      </c>
      <c r="T183" s="52">
        <f>Source!X164</f>
        <v>0</v>
      </c>
      <c r="U183" s="52">
        <f>ROUND((Source!FY164/100)*((ROUND(Source!AF164*Source!I164, 2)+ROUND(Source!AE164*Source!I164, 2))), 2)</f>
        <v>0</v>
      </c>
      <c r="V183" s="52">
        <f>Source!Y164</f>
        <v>0</v>
      </c>
    </row>
    <row r="184" spans="1:33" ht="14.25" x14ac:dyDescent="0.2">
      <c r="A184" s="20"/>
      <c r="B184" s="21"/>
      <c r="C184" s="21" t="s">
        <v>1213</v>
      </c>
      <c r="D184" s="78"/>
      <c r="E184" s="79"/>
      <c r="F184" s="80">
        <f>Source!AL164</f>
        <v>12</v>
      </c>
      <c r="G184" s="81" t="str">
        <f>Source!DD164</f>
        <v/>
      </c>
      <c r="H184" s="80">
        <f>ROUND(Source!AC164*Source!I164, 2)</f>
        <v>24</v>
      </c>
      <c r="I184" s="81"/>
      <c r="J184" s="81">
        <f>IF(Source!BC164&lt;&gt; 0, Source!BC164, 1)</f>
        <v>9.3699999999999992</v>
      </c>
      <c r="K184" s="80">
        <f>Source!P164</f>
        <v>224.88</v>
      </c>
      <c r="L184" s="100"/>
    </row>
    <row r="185" spans="1:33" ht="15" x14ac:dyDescent="0.2">
      <c r="G185" s="83">
        <f>ROUND(Source!AC164*Source!I164, 2)+ROUND(Source!AF164*Source!I164, 2)+ROUND((((Source!ET164)-(Source!EU164))+Source!AE164)*Source!I164, 2)</f>
        <v>24</v>
      </c>
      <c r="H185" s="83"/>
      <c r="J185" s="83">
        <f>Source!O164</f>
        <v>224.88</v>
      </c>
      <c r="K185" s="83"/>
      <c r="L185" s="84">
        <f>Source!U164</f>
        <v>0</v>
      </c>
      <c r="O185" s="85">
        <f>G185</f>
        <v>24</v>
      </c>
      <c r="P185" s="85">
        <f>J185</f>
        <v>224.88</v>
      </c>
      <c r="Q185" s="85">
        <f>L185</f>
        <v>0</v>
      </c>
      <c r="W185" s="52">
        <f>IF(Source!BI164&lt;=1,G185, 0)</f>
        <v>24</v>
      </c>
      <c r="X185" s="52">
        <f>IF(Source!BI164=2,G185, 0)</f>
        <v>0</v>
      </c>
      <c r="Y185" s="52">
        <f>IF(Source!BI164=3,G185, 0)</f>
        <v>0</v>
      </c>
      <c r="Z185" s="52">
        <f>IF(Source!BI164=4,G185, 0)</f>
        <v>0</v>
      </c>
    </row>
    <row r="186" spans="1:33" ht="14.25" x14ac:dyDescent="0.2">
      <c r="A186" s="16" t="str">
        <f>Source!E165</f>
        <v>21</v>
      </c>
      <c r="B186" s="17" t="str">
        <f>Source!F165</f>
        <v>101-2005</v>
      </c>
      <c r="C186" s="17" t="str">
        <f>Source!G165</f>
        <v>Щеколды</v>
      </c>
      <c r="D186" s="71" t="str">
        <f>Source!H165</f>
        <v>компл.</v>
      </c>
      <c r="E186" s="72">
        <f>Source!I165</f>
        <v>1</v>
      </c>
      <c r="F186" s="73">
        <f>IF(Source!AK165&lt;&gt; 0, Source!AK165,Source!AL165 + Source!AM165 + Source!AO165)</f>
        <v>33</v>
      </c>
      <c r="G186" s="74"/>
      <c r="H186" s="73"/>
      <c r="I186" s="74" t="str">
        <f>Source!BO165</f>
        <v>101-2005</v>
      </c>
      <c r="J186" s="74"/>
      <c r="K186" s="73"/>
      <c r="L186" s="75"/>
      <c r="S186" s="52">
        <f>ROUND((Source!FX165/100)*((ROUND(Source!AF165*Source!I165, 2)+ROUND(Source!AE165*Source!I165, 2))), 2)</f>
        <v>0</v>
      </c>
      <c r="T186" s="52">
        <f>Source!X165</f>
        <v>0</v>
      </c>
      <c r="U186" s="52">
        <f>ROUND((Source!FY165/100)*((ROUND(Source!AF165*Source!I165, 2)+ROUND(Source!AE165*Source!I165, 2))), 2)</f>
        <v>0</v>
      </c>
      <c r="V186" s="52">
        <f>Source!Y165</f>
        <v>0</v>
      </c>
    </row>
    <row r="187" spans="1:33" ht="14.25" x14ac:dyDescent="0.2">
      <c r="A187" s="20"/>
      <c r="B187" s="21"/>
      <c r="C187" s="21" t="s">
        <v>1213</v>
      </c>
      <c r="D187" s="78"/>
      <c r="E187" s="79"/>
      <c r="F187" s="80">
        <f>Source!AL165</f>
        <v>33</v>
      </c>
      <c r="G187" s="81" t="str">
        <f>Source!DD165</f>
        <v/>
      </c>
      <c r="H187" s="80">
        <f>ROUND(Source!AC165*Source!I165, 2)</f>
        <v>33</v>
      </c>
      <c r="I187" s="81"/>
      <c r="J187" s="81">
        <f>IF(Source!BC165&lt;&gt; 0, Source!BC165, 1)</f>
        <v>12.08</v>
      </c>
      <c r="K187" s="80">
        <f>Source!P165</f>
        <v>398.64</v>
      </c>
      <c r="L187" s="100"/>
    </row>
    <row r="188" spans="1:33" ht="15" x14ac:dyDescent="0.2">
      <c r="G188" s="83">
        <f>ROUND(Source!AC165*Source!I165, 2)+ROUND(Source!AF165*Source!I165, 2)+ROUND((((Source!ET165)-(Source!EU165))+Source!AE165)*Source!I165, 2)</f>
        <v>33</v>
      </c>
      <c r="H188" s="83"/>
      <c r="J188" s="83">
        <f>Source!O165</f>
        <v>398.64</v>
      </c>
      <c r="K188" s="83"/>
      <c r="L188" s="84">
        <f>Source!U165</f>
        <v>0</v>
      </c>
      <c r="O188" s="85">
        <f>G188</f>
        <v>33</v>
      </c>
      <c r="P188" s="85">
        <f>J188</f>
        <v>398.64</v>
      </c>
      <c r="Q188" s="85">
        <f>L188</f>
        <v>0</v>
      </c>
      <c r="W188" s="52">
        <f>IF(Source!BI165&lt;=1,G188, 0)</f>
        <v>33</v>
      </c>
      <c r="X188" s="52">
        <f>IF(Source!BI165=2,G188, 0)</f>
        <v>0</v>
      </c>
      <c r="Y188" s="52">
        <f>IF(Source!BI165=3,G188, 0)</f>
        <v>0</v>
      </c>
      <c r="Z188" s="52">
        <f>IF(Source!BI165=4,G188, 0)</f>
        <v>0</v>
      </c>
    </row>
    <row r="190" spans="1:33" ht="15" x14ac:dyDescent="0.2">
      <c r="A190" s="86" t="str">
        <f>CONCATENATE("Итого по подразделу: ", Source!G167)</f>
        <v>Итого по подразделу: Калитка</v>
      </c>
      <c r="B190" s="86"/>
      <c r="C190" s="86"/>
      <c r="D190" s="86"/>
      <c r="E190" s="86"/>
      <c r="F190" s="86"/>
      <c r="G190" s="83">
        <f>SUM(O163:O189)</f>
        <v>519.04000000000008</v>
      </c>
      <c r="H190" s="64"/>
      <c r="I190" s="87"/>
      <c r="J190" s="83">
        <f>SUM(P163:P189)</f>
        <v>5207.95</v>
      </c>
      <c r="K190" s="64"/>
      <c r="L190" s="84">
        <f>SUM(Q163:Q189)</f>
        <v>0.77390000000000003</v>
      </c>
      <c r="AG190" s="88" t="str">
        <f>CONCATENATE("Итого по подразделу: ", Source!G167)</f>
        <v>Итого по подразделу: Калитка</v>
      </c>
    </row>
    <row r="192" spans="1:33" ht="14.25" x14ac:dyDescent="0.2">
      <c r="C192" s="17" t="str">
        <f>Source!H196</f>
        <v>ОЗП</v>
      </c>
      <c r="J192" s="65">
        <f>Source!F196</f>
        <v>217.55</v>
      </c>
      <c r="K192" s="65"/>
    </row>
    <row r="193" spans="1:33" ht="14.25" x14ac:dyDescent="0.2">
      <c r="C193" s="17" t="str">
        <f>Source!H197</f>
        <v>ЭММ, в т.ч. ЗПМ</v>
      </c>
      <c r="J193" s="65">
        <f>Source!F197</f>
        <v>10.46</v>
      </c>
      <c r="K193" s="65"/>
    </row>
    <row r="194" spans="1:33" ht="14.25" x14ac:dyDescent="0.2">
      <c r="C194" s="17" t="str">
        <f>Source!H198</f>
        <v>Стоимость материалов</v>
      </c>
      <c r="J194" s="65">
        <f>Source!F198</f>
        <v>4581.82</v>
      </c>
      <c r="K194" s="65"/>
    </row>
    <row r="195" spans="1:33" ht="14.25" x14ac:dyDescent="0.2">
      <c r="C195" s="17" t="str">
        <f>Source!H199</f>
        <v>НР</v>
      </c>
      <c r="J195" s="65">
        <f>Source!F199</f>
        <v>239.31</v>
      </c>
      <c r="K195" s="65"/>
    </row>
    <row r="196" spans="1:33" ht="14.25" x14ac:dyDescent="0.2">
      <c r="C196" s="17" t="str">
        <f>Source!H200</f>
        <v>СП</v>
      </c>
      <c r="J196" s="65">
        <f>Source!F200</f>
        <v>158.81</v>
      </c>
      <c r="K196" s="65"/>
    </row>
    <row r="197" spans="1:33" ht="14.25" x14ac:dyDescent="0.2">
      <c r="C197" s="17" t="str">
        <f>Source!H201</f>
        <v>Всего</v>
      </c>
      <c r="J197" s="65">
        <f>Source!F201</f>
        <v>5207.95</v>
      </c>
      <c r="K197" s="65"/>
    </row>
    <row r="198" spans="1:33" ht="14.25" x14ac:dyDescent="0.2">
      <c r="C198" s="17" t="str">
        <f>Source!H202</f>
        <v>НДС 20%</v>
      </c>
      <c r="J198" s="65">
        <f>Source!F202</f>
        <v>1041.5899999999999</v>
      </c>
      <c r="K198" s="65"/>
    </row>
    <row r="199" spans="1:33" ht="14.25" x14ac:dyDescent="0.2">
      <c r="C199" s="17" t="str">
        <f>Source!H203</f>
        <v>Итого с НДС</v>
      </c>
      <c r="J199" s="65">
        <f>Source!F203</f>
        <v>6249.54</v>
      </c>
      <c r="K199" s="65"/>
    </row>
    <row r="202" spans="1:33" ht="15" x14ac:dyDescent="0.2">
      <c r="A202" s="86" t="str">
        <f>CONCATENATE("Итого по разделу: ", Source!G205)</f>
        <v>Итого по разделу: Ограждение территории</v>
      </c>
      <c r="B202" s="86"/>
      <c r="C202" s="86"/>
      <c r="D202" s="86"/>
      <c r="E202" s="86"/>
      <c r="F202" s="86"/>
      <c r="G202" s="83">
        <f>SUM(O86:O201)</f>
        <v>87116.859999999986</v>
      </c>
      <c r="H202" s="64"/>
      <c r="I202" s="87"/>
      <c r="J202" s="83">
        <f>SUM(P86:P201)</f>
        <v>1855314.52</v>
      </c>
      <c r="K202" s="64"/>
      <c r="L202" s="84">
        <f>SUM(Q86:Q201)</f>
        <v>1406.2770600000001</v>
      </c>
      <c r="AG202" s="88" t="str">
        <f>CONCATENATE("Итого по разделу: ", Source!G205)</f>
        <v>Итого по разделу: Ограждение территории</v>
      </c>
    </row>
    <row r="204" spans="1:33" ht="14.25" x14ac:dyDescent="0.2">
      <c r="C204" s="17" t="str">
        <f>Source!H234</f>
        <v>ОЗП</v>
      </c>
      <c r="J204" s="65">
        <f>Source!F234</f>
        <v>431065.32</v>
      </c>
      <c r="K204" s="65"/>
    </row>
    <row r="205" spans="1:33" ht="14.25" x14ac:dyDescent="0.2">
      <c r="C205" s="17" t="str">
        <f>Source!H235</f>
        <v>ЭММ, в т.ч. ЗПМ</v>
      </c>
      <c r="J205" s="65">
        <f>Source!F235</f>
        <v>205094.88</v>
      </c>
      <c r="K205" s="65"/>
    </row>
    <row r="206" spans="1:33" ht="14.25" x14ac:dyDescent="0.2">
      <c r="C206" s="17" t="str">
        <f>Source!H236</f>
        <v>Стоимость материалов</v>
      </c>
      <c r="J206" s="65">
        <f>Source!F236</f>
        <v>334670.49</v>
      </c>
      <c r="K206" s="65"/>
    </row>
    <row r="207" spans="1:33" ht="14.25" x14ac:dyDescent="0.2">
      <c r="C207" s="17" t="str">
        <f>Source!H237</f>
        <v>НР</v>
      </c>
      <c r="J207" s="65">
        <f>Source!F237</f>
        <v>532443.44999999995</v>
      </c>
      <c r="K207" s="65"/>
    </row>
    <row r="208" spans="1:33" ht="14.25" x14ac:dyDescent="0.2">
      <c r="C208" s="17" t="str">
        <f>Source!H238</f>
        <v>СП</v>
      </c>
      <c r="J208" s="65">
        <f>Source!F238</f>
        <v>352040.38</v>
      </c>
      <c r="K208" s="65"/>
    </row>
    <row r="209" spans="1:31" ht="14.25" x14ac:dyDescent="0.2">
      <c r="C209" s="17" t="str">
        <f>Source!H239</f>
        <v>Всего</v>
      </c>
      <c r="J209" s="65">
        <f>Source!F239</f>
        <v>1855314.52</v>
      </c>
      <c r="K209" s="65"/>
    </row>
    <row r="210" spans="1:31" ht="14.25" x14ac:dyDescent="0.2">
      <c r="C210" s="17" t="str">
        <f>Source!H240</f>
        <v>НДС 20%</v>
      </c>
      <c r="J210" s="65">
        <f>Source!F240</f>
        <v>371062.9</v>
      </c>
      <c r="K210" s="65"/>
    </row>
    <row r="211" spans="1:31" ht="14.25" x14ac:dyDescent="0.2">
      <c r="C211" s="17" t="str">
        <f>Source!H241</f>
        <v>Итого с НДС</v>
      </c>
      <c r="J211" s="65">
        <f>Source!F241</f>
        <v>2226377.42</v>
      </c>
      <c r="K211" s="65"/>
    </row>
    <row r="214" spans="1:31" ht="16.5" x14ac:dyDescent="0.2">
      <c r="A214" s="69" t="str">
        <f>CONCATENATE("Раздел: ", Source!G243)</f>
        <v>Раздел: Площадка под ТКО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AE214" s="70" t="str">
        <f>CONCATENATE("Раздел: ", Source!G243)</f>
        <v>Раздел: Площадка под ТКО</v>
      </c>
    </row>
    <row r="215" spans="1:31" ht="42.75" x14ac:dyDescent="0.2">
      <c r="A215" s="16" t="str">
        <f>Source!E247</f>
        <v>22</v>
      </c>
      <c r="B215" s="17" t="str">
        <f>Source!F247</f>
        <v>01-02-057-1</v>
      </c>
      <c r="C215" s="17" t="str">
        <f>Source!G247</f>
        <v>Разработка грунта вручную в траншеях глубиной до 2 м без креплений с откосами, группа грунтов 1</v>
      </c>
      <c r="D215" s="71" t="str">
        <f>Source!H247</f>
        <v>100 м3 грунта</v>
      </c>
      <c r="E215" s="72">
        <f>Source!I247</f>
        <v>2.76E-2</v>
      </c>
      <c r="F215" s="73">
        <f>IF(Source!AK247&lt;&gt; 0, Source!AK247,Source!AL247 + Source!AM247 + Source!AO247)</f>
        <v>860.22</v>
      </c>
      <c r="G215" s="74"/>
      <c r="H215" s="73"/>
      <c r="I215" s="74" t="str">
        <f>Source!BO247</f>
        <v>01-02-057-1</v>
      </c>
      <c r="J215" s="74"/>
      <c r="K215" s="73"/>
      <c r="L215" s="75"/>
      <c r="S215" s="52">
        <f>ROUND((Source!FX247/100)*((ROUND(Source!AF247*Source!I247, 2)+ROUND(Source!AE247*Source!I247, 2))), 2)</f>
        <v>21.13</v>
      </c>
      <c r="T215" s="52">
        <f>Source!X247</f>
        <v>745.27</v>
      </c>
      <c r="U215" s="52">
        <f>ROUND((Source!FY247/100)*((ROUND(Source!AF247*Source!I247, 2)+ROUND(Source!AE247*Source!I247, 2))), 2)</f>
        <v>9.5</v>
      </c>
      <c r="V215" s="52">
        <f>Source!Y247</f>
        <v>334.95</v>
      </c>
    </row>
    <row r="216" spans="1:31" x14ac:dyDescent="0.2">
      <c r="C216" s="18" t="str">
        <f>"Объем: "&amp;Source!I247&amp;"=2,76/"&amp;"100"</f>
        <v>Объем: 0,0276=2,76/100</v>
      </c>
    </row>
    <row r="217" spans="1:31" ht="14.25" x14ac:dyDescent="0.2">
      <c r="A217" s="16"/>
      <c r="B217" s="17"/>
      <c r="C217" s="17" t="s">
        <v>1206</v>
      </c>
      <c r="D217" s="71"/>
      <c r="E217" s="72"/>
      <c r="F217" s="73">
        <f>Source!AO247</f>
        <v>860.22</v>
      </c>
      <c r="G217" s="74" t="str">
        <f>Source!DG247</f>
        <v/>
      </c>
      <c r="H217" s="73">
        <f>ROUND(Source!AF247*Source!I247, 2)</f>
        <v>23.74</v>
      </c>
      <c r="I217" s="74"/>
      <c r="J217" s="74">
        <f>IF(Source!BA247&lt;&gt; 0, Source!BA247, 1)</f>
        <v>35.270000000000003</v>
      </c>
      <c r="K217" s="73">
        <f>Source!S247</f>
        <v>837.38</v>
      </c>
      <c r="L217" s="75"/>
      <c r="R217" s="52">
        <f>H217</f>
        <v>23.74</v>
      </c>
    </row>
    <row r="218" spans="1:31" ht="14.25" x14ac:dyDescent="0.2">
      <c r="A218" s="16"/>
      <c r="B218" s="17"/>
      <c r="C218" s="17" t="s">
        <v>1207</v>
      </c>
      <c r="D218" s="71" t="s">
        <v>1208</v>
      </c>
      <c r="E218" s="72">
        <f>Source!BZ247</f>
        <v>89</v>
      </c>
      <c r="F218" s="76"/>
      <c r="G218" s="74"/>
      <c r="H218" s="73">
        <f>SUM(S215:S220)</f>
        <v>21.13</v>
      </c>
      <c r="I218" s="77"/>
      <c r="J218" s="17">
        <f>Source!AT247</f>
        <v>89</v>
      </c>
      <c r="K218" s="73">
        <f>SUM(T215:T220)</f>
        <v>745.27</v>
      </c>
      <c r="L218" s="75"/>
    </row>
    <row r="219" spans="1:31" ht="14.25" x14ac:dyDescent="0.2">
      <c r="A219" s="16"/>
      <c r="B219" s="17"/>
      <c r="C219" s="17" t="s">
        <v>1209</v>
      </c>
      <c r="D219" s="71" t="s">
        <v>1208</v>
      </c>
      <c r="E219" s="72">
        <f>Source!CA247</f>
        <v>40</v>
      </c>
      <c r="F219" s="76"/>
      <c r="G219" s="74"/>
      <c r="H219" s="73">
        <f>SUM(U215:U220)</f>
        <v>9.5</v>
      </c>
      <c r="I219" s="77"/>
      <c r="J219" s="17">
        <f>Source!AU247</f>
        <v>40</v>
      </c>
      <c r="K219" s="73">
        <f>SUM(V215:V220)</f>
        <v>334.95</v>
      </c>
      <c r="L219" s="75"/>
    </row>
    <row r="220" spans="1:31" ht="14.25" x14ac:dyDescent="0.2">
      <c r="A220" s="20"/>
      <c r="B220" s="21"/>
      <c r="C220" s="21" t="s">
        <v>1210</v>
      </c>
      <c r="D220" s="78" t="s">
        <v>1211</v>
      </c>
      <c r="E220" s="79">
        <f>Source!AQ247</f>
        <v>118</v>
      </c>
      <c r="F220" s="80"/>
      <c r="G220" s="81" t="str">
        <f>Source!DI247</f>
        <v/>
      </c>
      <c r="H220" s="80"/>
      <c r="I220" s="81"/>
      <c r="J220" s="81"/>
      <c r="K220" s="80"/>
      <c r="L220" s="82">
        <f>Source!U247</f>
        <v>3.2568000000000001</v>
      </c>
    </row>
    <row r="221" spans="1:31" ht="15" x14ac:dyDescent="0.2">
      <c r="G221" s="83">
        <f>ROUND(Source!AC247*Source!I247, 2)+ROUND(Source!AF247*Source!I247, 2)+ROUND((((Source!ET247)-(Source!EU247))+Source!AE247)*Source!I247, 2)+SUM(H218:H219)</f>
        <v>54.37</v>
      </c>
      <c r="H221" s="83"/>
      <c r="J221" s="83">
        <f>Source!O247+SUM(K218:K219)</f>
        <v>1917.6</v>
      </c>
      <c r="K221" s="83"/>
      <c r="L221" s="84">
        <f>Source!U247</f>
        <v>3.2568000000000001</v>
      </c>
      <c r="O221" s="85">
        <f>G221</f>
        <v>54.37</v>
      </c>
      <c r="P221" s="85">
        <f>J221</f>
        <v>1917.6</v>
      </c>
      <c r="Q221" s="85">
        <f>L221</f>
        <v>3.2568000000000001</v>
      </c>
      <c r="W221" s="52">
        <f>IF(Source!BI247&lt;=1,G221, 0)</f>
        <v>54.37</v>
      </c>
      <c r="X221" s="52">
        <f>IF(Source!BI247=2,G221, 0)</f>
        <v>0</v>
      </c>
      <c r="Y221" s="52">
        <f>IF(Source!BI247=3,G221, 0)</f>
        <v>0</v>
      </c>
      <c r="Z221" s="52">
        <f>IF(Source!BI247=4,G221, 0)</f>
        <v>0</v>
      </c>
    </row>
    <row r="222" spans="1:31" ht="57" x14ac:dyDescent="0.2">
      <c r="A222" s="16" t="str">
        <f>Source!E248</f>
        <v>23</v>
      </c>
      <c r="B222" s="17" t="str">
        <f>Source!F248</f>
        <v>01-02-060-1</v>
      </c>
      <c r="C222" s="17" t="str">
        <f>Source!G248</f>
        <v>Погрузка вручную неуплотненного грунта из штабелей и отвалов в транспортные средства, группа грунтов 1</v>
      </c>
      <c r="D222" s="71" t="str">
        <f>Source!H248</f>
        <v>100 м3</v>
      </c>
      <c r="E222" s="72">
        <f>Source!I248</f>
        <v>2.76E-2</v>
      </c>
      <c r="F222" s="73">
        <f>IF(Source!AK248&lt;&gt; 0, Source!AK248,Source!AL248 + Source!AM248 + Source!AO248)</f>
        <v>375.46</v>
      </c>
      <c r="G222" s="74"/>
      <c r="H222" s="73"/>
      <c r="I222" s="74" t="str">
        <f>Source!BO248</f>
        <v>01-02-060-1</v>
      </c>
      <c r="J222" s="74"/>
      <c r="K222" s="73"/>
      <c r="L222" s="75"/>
      <c r="S222" s="52">
        <f>ROUND((Source!FX248/100)*((ROUND(Source!AF248*Source!I248, 2)+ROUND(Source!AE248*Source!I248, 2))), 2)</f>
        <v>9.2200000000000006</v>
      </c>
      <c r="T222" s="52">
        <f>Source!X248</f>
        <v>325.29000000000002</v>
      </c>
      <c r="U222" s="52">
        <f>ROUND((Source!FY248/100)*((ROUND(Source!AF248*Source!I248, 2)+ROUND(Source!AE248*Source!I248, 2))), 2)</f>
        <v>4.1399999999999997</v>
      </c>
      <c r="V222" s="52">
        <f>Source!Y248</f>
        <v>146.19999999999999</v>
      </c>
    </row>
    <row r="223" spans="1:31" x14ac:dyDescent="0.2">
      <c r="C223" s="18" t="str">
        <f>"Объем: "&amp;Source!I248&amp;"=2,76/"&amp;"100"</f>
        <v>Объем: 0,0276=2,76/100</v>
      </c>
    </row>
    <row r="224" spans="1:31" ht="14.25" x14ac:dyDescent="0.2">
      <c r="A224" s="16"/>
      <c r="B224" s="17"/>
      <c r="C224" s="17" t="s">
        <v>1206</v>
      </c>
      <c r="D224" s="71"/>
      <c r="E224" s="72"/>
      <c r="F224" s="73">
        <f>Source!AO248</f>
        <v>375.46</v>
      </c>
      <c r="G224" s="74" t="str">
        <f>Source!DG248</f>
        <v/>
      </c>
      <c r="H224" s="73">
        <f>ROUND(Source!AF248*Source!I248, 2)</f>
        <v>10.36</v>
      </c>
      <c r="I224" s="74"/>
      <c r="J224" s="74">
        <f>IF(Source!BA248&lt;&gt; 0, Source!BA248, 1)</f>
        <v>35.270000000000003</v>
      </c>
      <c r="K224" s="73">
        <f>Source!S248</f>
        <v>365.49</v>
      </c>
      <c r="L224" s="75"/>
      <c r="R224" s="52">
        <f>H224</f>
        <v>10.36</v>
      </c>
    </row>
    <row r="225" spans="1:26" ht="14.25" x14ac:dyDescent="0.2">
      <c r="A225" s="16"/>
      <c r="B225" s="17"/>
      <c r="C225" s="17" t="s">
        <v>1207</v>
      </c>
      <c r="D225" s="71" t="s">
        <v>1208</v>
      </c>
      <c r="E225" s="72">
        <f>Source!BZ248</f>
        <v>89</v>
      </c>
      <c r="F225" s="76"/>
      <c r="G225" s="74"/>
      <c r="H225" s="73">
        <f>SUM(S222:S227)</f>
        <v>9.2200000000000006</v>
      </c>
      <c r="I225" s="77"/>
      <c r="J225" s="17">
        <f>Source!AT248</f>
        <v>89</v>
      </c>
      <c r="K225" s="73">
        <f>SUM(T222:T227)</f>
        <v>325.29000000000002</v>
      </c>
      <c r="L225" s="75"/>
    </row>
    <row r="226" spans="1:26" ht="14.25" x14ac:dyDescent="0.2">
      <c r="A226" s="16"/>
      <c r="B226" s="17"/>
      <c r="C226" s="17" t="s">
        <v>1209</v>
      </c>
      <c r="D226" s="71" t="s">
        <v>1208</v>
      </c>
      <c r="E226" s="72">
        <f>Source!CA248</f>
        <v>40</v>
      </c>
      <c r="F226" s="76"/>
      <c r="G226" s="74"/>
      <c r="H226" s="73">
        <f>SUM(U222:U227)</f>
        <v>4.1399999999999997</v>
      </c>
      <c r="I226" s="77"/>
      <c r="J226" s="17">
        <f>Source!AU248</f>
        <v>40</v>
      </c>
      <c r="K226" s="73">
        <f>SUM(V222:V227)</f>
        <v>146.19999999999999</v>
      </c>
      <c r="L226" s="75"/>
    </row>
    <row r="227" spans="1:26" ht="14.25" x14ac:dyDescent="0.2">
      <c r="A227" s="20"/>
      <c r="B227" s="21"/>
      <c r="C227" s="21" t="s">
        <v>1210</v>
      </c>
      <c r="D227" s="78" t="s">
        <v>1211</v>
      </c>
      <c r="E227" s="79">
        <f>Source!AQ248</f>
        <v>53.56</v>
      </c>
      <c r="F227" s="80"/>
      <c r="G227" s="81" t="str">
        <f>Source!DI248</f>
        <v/>
      </c>
      <c r="H227" s="80"/>
      <c r="I227" s="81"/>
      <c r="J227" s="81"/>
      <c r="K227" s="80"/>
      <c r="L227" s="82">
        <f>Source!U248</f>
        <v>1.478256</v>
      </c>
    </row>
    <row r="228" spans="1:26" ht="15" x14ac:dyDescent="0.2">
      <c r="G228" s="83">
        <f>ROUND(Source!AC248*Source!I248, 2)+ROUND(Source!AF248*Source!I248, 2)+ROUND((((Source!ET248)-(Source!EU248))+Source!AE248)*Source!I248, 2)+SUM(H225:H226)</f>
        <v>23.72</v>
      </c>
      <c r="H228" s="83"/>
      <c r="J228" s="83">
        <f>Source!O248+SUM(K225:K226)</f>
        <v>836.98</v>
      </c>
      <c r="K228" s="83"/>
      <c r="L228" s="84">
        <f>Source!U248</f>
        <v>1.478256</v>
      </c>
      <c r="O228" s="85">
        <f>G228</f>
        <v>23.72</v>
      </c>
      <c r="P228" s="85">
        <f>J228</f>
        <v>836.98</v>
      </c>
      <c r="Q228" s="85">
        <f>L228</f>
        <v>1.478256</v>
      </c>
      <c r="W228" s="52">
        <f>IF(Source!BI248&lt;=1,G228, 0)</f>
        <v>23.72</v>
      </c>
      <c r="X228" s="52">
        <f>IF(Source!BI248=2,G228, 0)</f>
        <v>0</v>
      </c>
      <c r="Y228" s="52">
        <f>IF(Source!BI248=3,G228, 0)</f>
        <v>0</v>
      </c>
      <c r="Z228" s="52">
        <f>IF(Source!BI248=4,G228, 0)</f>
        <v>0</v>
      </c>
    </row>
    <row r="229" spans="1:26" ht="57" x14ac:dyDescent="0.2">
      <c r="A229" s="16" t="str">
        <f>Source!E249</f>
        <v>24</v>
      </c>
      <c r="B229" s="17" t="str">
        <f>Source!F249</f>
        <v>т03-21-001-5</v>
      </c>
      <c r="C229" s="17" t="str">
        <f>Source!G249</f>
        <v>Перевозка грузов I класса автомобилями-самосвалами грузоподъемностью 10 т работающих вне карьера на расстояние до 5 км</v>
      </c>
      <c r="D229" s="71" t="str">
        <f>Source!H249</f>
        <v>1 Т ГРУЗА</v>
      </c>
      <c r="E229" s="72">
        <f>Source!I249</f>
        <v>4.83</v>
      </c>
      <c r="F229" s="73">
        <f>IF(Source!AK249&lt;&gt; 0, Source!AK249,Source!AL249 + Source!AM249 + Source!AO249)</f>
        <v>6.22</v>
      </c>
      <c r="G229" s="74"/>
      <c r="H229" s="73"/>
      <c r="I229" s="74" t="str">
        <f>Source!BO249</f>
        <v/>
      </c>
      <c r="J229" s="74"/>
      <c r="K229" s="73"/>
      <c r="L229" s="75"/>
      <c r="S229" s="52">
        <f>ROUND((Source!FX249/100)*((ROUND(Source!AF249*Source!I249, 2)+ROUND(Source!AE249*Source!I249, 2))), 2)</f>
        <v>0</v>
      </c>
      <c r="T229" s="52">
        <f>Source!X249</f>
        <v>0</v>
      </c>
      <c r="U229" s="52">
        <f>ROUND((Source!FY249/100)*((ROUND(Source!AF249*Source!I249, 2)+ROUND(Source!AE249*Source!I249, 2))), 2)</f>
        <v>0</v>
      </c>
      <c r="V229" s="52">
        <f>Source!Y249</f>
        <v>0</v>
      </c>
    </row>
    <row r="230" spans="1:26" ht="14.25" x14ac:dyDescent="0.2">
      <c r="A230" s="20"/>
      <c r="B230" s="21"/>
      <c r="C230" s="21" t="s">
        <v>103</v>
      </c>
      <c r="D230" s="78"/>
      <c r="E230" s="79"/>
      <c r="F230" s="80">
        <f>Source!AM249</f>
        <v>6.22</v>
      </c>
      <c r="G230" s="81" t="str">
        <f>Source!DE249</f>
        <v/>
      </c>
      <c r="H230" s="80">
        <f>ROUND((((Source!ET249)-(Source!EU249))+Source!AE249)*Source!I249, 2)</f>
        <v>30.04</v>
      </c>
      <c r="I230" s="81"/>
      <c r="J230" s="81">
        <f>IF(Source!BB249&lt;&gt; 0, Source!BB249, 1)</f>
        <v>15.55</v>
      </c>
      <c r="K230" s="80">
        <f>Source!Q249</f>
        <v>467.16</v>
      </c>
      <c r="L230" s="100"/>
    </row>
    <row r="231" spans="1:26" ht="15" x14ac:dyDescent="0.2">
      <c r="G231" s="83">
        <f>ROUND(Source!AC249*Source!I249, 2)+ROUND(Source!AF249*Source!I249, 2)+ROUND((((Source!ET249)-(Source!EU249))+Source!AE249)*Source!I249, 2)</f>
        <v>30.04</v>
      </c>
      <c r="H231" s="83"/>
      <c r="J231" s="83">
        <f>Source!O249</f>
        <v>467.16</v>
      </c>
      <c r="K231" s="83"/>
      <c r="L231" s="84">
        <f>Source!U249</f>
        <v>0</v>
      </c>
      <c r="O231" s="85">
        <f>G231</f>
        <v>30.04</v>
      </c>
      <c r="P231" s="85">
        <f>J231</f>
        <v>467.16</v>
      </c>
      <c r="Q231" s="85">
        <f>L231</f>
        <v>0</v>
      </c>
      <c r="W231" s="52">
        <f>IF(Source!BI249&lt;=1,G231, 0)</f>
        <v>30.04</v>
      </c>
      <c r="X231" s="52">
        <f>IF(Source!BI249=2,G231, 0)</f>
        <v>0</v>
      </c>
      <c r="Y231" s="52">
        <f>IF(Source!BI249=3,G231, 0)</f>
        <v>0</v>
      </c>
      <c r="Z231" s="52">
        <f>IF(Source!BI249=4,G231, 0)</f>
        <v>0</v>
      </c>
    </row>
    <row r="232" spans="1:26" ht="99.75" x14ac:dyDescent="0.2">
      <c r="A232" s="16" t="str">
        <f>Source!E250</f>
        <v>25</v>
      </c>
      <c r="B232" s="17" t="str">
        <f>Source!F250</f>
        <v>27-04-001-2</v>
      </c>
      <c r="C232" s="17" t="str">
        <f>Source!G250</f>
        <v>Устройство подстилающих и выравнивающих слоев оснований из песчано-гравийной смеси, дресвы</v>
      </c>
      <c r="D232" s="71" t="str">
        <f>Source!H250</f>
        <v>100 м3 материала основания (в плотном теле)</v>
      </c>
      <c r="E232" s="72">
        <f>Source!I250</f>
        <v>2.07E-2</v>
      </c>
      <c r="F232" s="73">
        <f>IF(Source!AK250&lt;&gt; 0, Source!AK250,Source!AL250 + Source!AM250 + Source!AO250)</f>
        <v>2462.6999999999998</v>
      </c>
      <c r="G232" s="74"/>
      <c r="H232" s="73"/>
      <c r="I232" s="74" t="str">
        <f>Source!BO250</f>
        <v>27-04-001-2</v>
      </c>
      <c r="J232" s="74"/>
      <c r="K232" s="73"/>
      <c r="L232" s="75"/>
      <c r="S232" s="52">
        <f>ROUND((Source!FX250/100)*((ROUND(Source!AF250*Source!I250, 2)+ROUND(Source!AE250*Source!I250, 2))), 2)</f>
        <v>8.6999999999999993</v>
      </c>
      <c r="T232" s="52">
        <f>Source!X250</f>
        <v>306.92</v>
      </c>
      <c r="U232" s="52">
        <f>ROUND((Source!FY250/100)*((ROUND(Source!AF250*Source!I250, 2)+ROUND(Source!AE250*Source!I250, 2))), 2)</f>
        <v>7.93</v>
      </c>
      <c r="V232" s="52">
        <f>Source!Y250</f>
        <v>279.77999999999997</v>
      </c>
    </row>
    <row r="233" spans="1:26" x14ac:dyDescent="0.2">
      <c r="C233" s="18" t="str">
        <f>"Объем: "&amp;Source!I250&amp;"=2,07/"&amp;"100"</f>
        <v>Объем: 0,0207=2,07/100</v>
      </c>
    </row>
    <row r="234" spans="1:26" ht="14.25" x14ac:dyDescent="0.2">
      <c r="A234" s="16"/>
      <c r="B234" s="17"/>
      <c r="C234" s="17" t="s">
        <v>1206</v>
      </c>
      <c r="D234" s="71"/>
      <c r="E234" s="72"/>
      <c r="F234" s="73">
        <f>Source!AO250</f>
        <v>117.74</v>
      </c>
      <c r="G234" s="74" t="str">
        <f>Source!DG250</f>
        <v/>
      </c>
      <c r="H234" s="73">
        <f>ROUND(Source!AF250*Source!I250, 2)</f>
        <v>2.44</v>
      </c>
      <c r="I234" s="74"/>
      <c r="J234" s="74">
        <f>IF(Source!BA250&lt;&gt; 0, Source!BA250, 1)</f>
        <v>35.270000000000003</v>
      </c>
      <c r="K234" s="73">
        <f>Source!S250</f>
        <v>85.96</v>
      </c>
      <c r="L234" s="75"/>
      <c r="R234" s="52">
        <f>H234</f>
        <v>2.44</v>
      </c>
    </row>
    <row r="235" spans="1:26" ht="14.25" x14ac:dyDescent="0.2">
      <c r="A235" s="16"/>
      <c r="B235" s="17"/>
      <c r="C235" s="17" t="s">
        <v>103</v>
      </c>
      <c r="D235" s="71"/>
      <c r="E235" s="72"/>
      <c r="F235" s="73">
        <f>Source!AM250</f>
        <v>2327.67</v>
      </c>
      <c r="G235" s="74" t="str">
        <f>Source!DE250</f>
        <v/>
      </c>
      <c r="H235" s="73">
        <f>ROUND((((Source!ET250)-(Source!EU250))+Source!AE250)*Source!I250, 2)</f>
        <v>48.18</v>
      </c>
      <c r="I235" s="74"/>
      <c r="J235" s="74">
        <f>IF(Source!BB250&lt;&gt; 0, Source!BB250, 1)</f>
        <v>16.57</v>
      </c>
      <c r="K235" s="73">
        <f>Source!Q250</f>
        <v>798.39</v>
      </c>
      <c r="L235" s="75"/>
    </row>
    <row r="236" spans="1:26" ht="14.25" x14ac:dyDescent="0.2">
      <c r="A236" s="16"/>
      <c r="B236" s="17"/>
      <c r="C236" s="17" t="s">
        <v>1212</v>
      </c>
      <c r="D236" s="71"/>
      <c r="E236" s="72"/>
      <c r="F236" s="73">
        <f>Source!AN250</f>
        <v>168.24</v>
      </c>
      <c r="G236" s="74" t="str">
        <f>Source!DF250</f>
        <v/>
      </c>
      <c r="H236" s="73">
        <f>ROUND(Source!AE250*Source!I250, 2)</f>
        <v>3.48</v>
      </c>
      <c r="I236" s="74"/>
      <c r="J236" s="74">
        <f>IF(Source!BS250&lt;&gt; 0, Source!BS250, 1)</f>
        <v>35.270000000000003</v>
      </c>
      <c r="K236" s="73">
        <f>Source!R250</f>
        <v>122.83</v>
      </c>
      <c r="L236" s="75"/>
      <c r="R236" s="52">
        <f>H236</f>
        <v>3.48</v>
      </c>
    </row>
    <row r="237" spans="1:26" ht="14.25" x14ac:dyDescent="0.2">
      <c r="A237" s="16"/>
      <c r="B237" s="17"/>
      <c r="C237" s="17" t="s">
        <v>1213</v>
      </c>
      <c r="D237" s="71"/>
      <c r="E237" s="72"/>
      <c r="F237" s="73">
        <f>Source!AL250</f>
        <v>17.29</v>
      </c>
      <c r="G237" s="74" t="str">
        <f>Source!DD250</f>
        <v/>
      </c>
      <c r="H237" s="73">
        <f>ROUND(Source!AC250*Source!I250, 2)</f>
        <v>0.36</v>
      </c>
      <c r="I237" s="74"/>
      <c r="J237" s="74">
        <f>IF(Source!BC250&lt;&gt; 0, Source!BC250, 1)</f>
        <v>7.93</v>
      </c>
      <c r="K237" s="73">
        <f>Source!P250</f>
        <v>2.84</v>
      </c>
      <c r="L237" s="75"/>
    </row>
    <row r="238" spans="1:26" ht="14.25" x14ac:dyDescent="0.2">
      <c r="A238" s="16"/>
      <c r="B238" s="17"/>
      <c r="C238" s="17" t="s">
        <v>1207</v>
      </c>
      <c r="D238" s="71" t="s">
        <v>1208</v>
      </c>
      <c r="E238" s="72">
        <f>Source!BZ250</f>
        <v>147</v>
      </c>
      <c r="F238" s="76"/>
      <c r="G238" s="74"/>
      <c r="H238" s="73">
        <f>SUM(S232:S240)</f>
        <v>8.6999999999999993</v>
      </c>
      <c r="I238" s="77"/>
      <c r="J238" s="17">
        <f>Source!AT250</f>
        <v>147</v>
      </c>
      <c r="K238" s="73">
        <f>SUM(T232:T240)</f>
        <v>306.92</v>
      </c>
      <c r="L238" s="75"/>
    </row>
    <row r="239" spans="1:26" ht="14.25" x14ac:dyDescent="0.2">
      <c r="A239" s="16"/>
      <c r="B239" s="17"/>
      <c r="C239" s="17" t="s">
        <v>1209</v>
      </c>
      <c r="D239" s="71" t="s">
        <v>1208</v>
      </c>
      <c r="E239" s="72">
        <f>Source!CA250</f>
        <v>134</v>
      </c>
      <c r="F239" s="76"/>
      <c r="G239" s="74"/>
      <c r="H239" s="73">
        <f>SUM(U232:U240)</f>
        <v>7.93</v>
      </c>
      <c r="I239" s="77"/>
      <c r="J239" s="17">
        <f>Source!AU250</f>
        <v>134</v>
      </c>
      <c r="K239" s="73">
        <f>SUM(V232:V240)</f>
        <v>279.77999999999997</v>
      </c>
      <c r="L239" s="75"/>
    </row>
    <row r="240" spans="1:26" ht="14.25" x14ac:dyDescent="0.2">
      <c r="A240" s="20"/>
      <c r="B240" s="21"/>
      <c r="C240" s="21" t="s">
        <v>1210</v>
      </c>
      <c r="D240" s="78" t="s">
        <v>1211</v>
      </c>
      <c r="E240" s="79">
        <f>Source!AQ250</f>
        <v>15.72</v>
      </c>
      <c r="F240" s="80"/>
      <c r="G240" s="81" t="str">
        <f>Source!DI250</f>
        <v/>
      </c>
      <c r="H240" s="80"/>
      <c r="I240" s="81"/>
      <c r="J240" s="81"/>
      <c r="K240" s="80"/>
      <c r="L240" s="82">
        <f>Source!U250</f>
        <v>0.32540400000000003</v>
      </c>
    </row>
    <row r="241" spans="1:28" ht="15" x14ac:dyDescent="0.2">
      <c r="G241" s="83">
        <f>ROUND(Source!AC250*Source!I250, 2)+ROUND(Source!AF250*Source!I250, 2)+ROUND((((Source!ET250)-(Source!EU250))+Source!AE250)*Source!I250, 2)+SUM(H238:H239)</f>
        <v>67.61</v>
      </c>
      <c r="H241" s="83"/>
      <c r="J241" s="83">
        <f>Source!O250+SUM(K238:K239)</f>
        <v>1473.89</v>
      </c>
      <c r="K241" s="83"/>
      <c r="L241" s="84">
        <f>Source!U250</f>
        <v>0.32540400000000003</v>
      </c>
      <c r="O241" s="85">
        <f>G241</f>
        <v>67.61</v>
      </c>
      <c r="P241" s="85">
        <f>J241</f>
        <v>1473.89</v>
      </c>
      <c r="Q241" s="85">
        <f>L241</f>
        <v>0.32540400000000003</v>
      </c>
      <c r="W241" s="52">
        <f>IF(Source!BI250&lt;=1,G241, 0)</f>
        <v>67.61</v>
      </c>
      <c r="X241" s="52">
        <f>IF(Source!BI250=2,G241, 0)</f>
        <v>0</v>
      </c>
      <c r="Y241" s="52">
        <f>IF(Source!BI250=3,G241, 0)</f>
        <v>0</v>
      </c>
      <c r="Z241" s="52">
        <f>IF(Source!BI250=4,G241, 0)</f>
        <v>0</v>
      </c>
    </row>
    <row r="242" spans="1:28" ht="42.75" x14ac:dyDescent="0.2">
      <c r="A242" s="16" t="str">
        <f>Source!E252</f>
        <v>26</v>
      </c>
      <c r="B242" s="17" t="str">
        <f>Source!F252</f>
        <v>408-0205</v>
      </c>
      <c r="C242" s="17" t="str">
        <f>Source!G252</f>
        <v>Смесь песчано-гравийная природная обогащенная с содержанием гравия 65-75 %</v>
      </c>
      <c r="D242" s="71" t="str">
        <f>Source!H252</f>
        <v>м3</v>
      </c>
      <c r="E242" s="72">
        <f>Source!I252</f>
        <v>2.5253999999999999</v>
      </c>
      <c r="F242" s="73">
        <f>IF(Source!AK252&lt;&gt; 0, Source!AK252,Source!AL252 + Source!AM252 + Source!AO252)</f>
        <v>191</v>
      </c>
      <c r="G242" s="74"/>
      <c r="H242" s="73"/>
      <c r="I242" s="74" t="str">
        <f>Source!BO252</f>
        <v>408-0205</v>
      </c>
      <c r="J242" s="74"/>
      <c r="K242" s="73"/>
      <c r="L242" s="75"/>
      <c r="S242" s="52">
        <f>ROUND((Source!FX252/100)*((ROUND(Source!AF252*Source!I252, 2)+ROUND(Source!AE252*Source!I252, 2))), 2)</f>
        <v>0</v>
      </c>
      <c r="T242" s="52">
        <f>Source!X252</f>
        <v>0</v>
      </c>
      <c r="U242" s="52">
        <f>ROUND((Source!FY252/100)*((ROUND(Source!AF252*Source!I252, 2)+ROUND(Source!AE252*Source!I252, 2))), 2)</f>
        <v>0</v>
      </c>
      <c r="V242" s="52">
        <f>Source!Y252</f>
        <v>0</v>
      </c>
    </row>
    <row r="243" spans="1:28" ht="14.25" x14ac:dyDescent="0.2">
      <c r="A243" s="20"/>
      <c r="B243" s="21"/>
      <c r="C243" s="21" t="s">
        <v>1213</v>
      </c>
      <c r="D243" s="78"/>
      <c r="E243" s="79"/>
      <c r="F243" s="80">
        <f>Source!AL252</f>
        <v>191</v>
      </c>
      <c r="G243" s="81" t="str">
        <f>Source!DD252</f>
        <v/>
      </c>
      <c r="H243" s="80">
        <f>ROUND(Source!AC252*Source!I252, 2)</f>
        <v>482.35</v>
      </c>
      <c r="I243" s="81"/>
      <c r="J243" s="81">
        <f>IF(Source!BC252&lt;&gt; 0, Source!BC252, 1)</f>
        <v>16.93</v>
      </c>
      <c r="K243" s="80">
        <f>Source!P252</f>
        <v>8166.21</v>
      </c>
      <c r="L243" s="100"/>
    </row>
    <row r="244" spans="1:28" ht="15" x14ac:dyDescent="0.2">
      <c r="G244" s="83">
        <f>ROUND(Source!AC252*Source!I252, 2)+ROUND(Source!AF252*Source!I252, 2)+ROUND((((Source!ET252)-(Source!EU252))+Source!AE252)*Source!I252, 2)</f>
        <v>482.35</v>
      </c>
      <c r="H244" s="83"/>
      <c r="J244" s="83">
        <f>Source!O252</f>
        <v>8166.21</v>
      </c>
      <c r="K244" s="83"/>
      <c r="L244" s="84">
        <f>Source!U252</f>
        <v>0</v>
      </c>
      <c r="O244" s="85">
        <f>G244</f>
        <v>482.35</v>
      </c>
      <c r="P244" s="85">
        <f>J244</f>
        <v>8166.21</v>
      </c>
      <c r="Q244" s="85">
        <f>L244</f>
        <v>0</v>
      </c>
      <c r="W244" s="52">
        <f>IF(Source!BI252&lt;=1,G244, 0)</f>
        <v>482.35</v>
      </c>
      <c r="X244" s="52">
        <f>IF(Source!BI252=2,G244, 0)</f>
        <v>0</v>
      </c>
      <c r="Y244" s="52">
        <f>IF(Source!BI252=3,G244, 0)</f>
        <v>0</v>
      </c>
      <c r="Z244" s="52">
        <f>IF(Source!BI252=4,G244, 0)</f>
        <v>0</v>
      </c>
    </row>
    <row r="245" spans="1:28" ht="99.75" x14ac:dyDescent="0.2">
      <c r="A245" s="16" t="str">
        <f>Source!E253</f>
        <v>27</v>
      </c>
      <c r="B245" s="17" t="str">
        <f>Source!F253</f>
        <v>06-01-001-1</v>
      </c>
      <c r="C245" s="17" t="str">
        <f>Source!G253</f>
        <v>Устройство бетонной подготовки</v>
      </c>
      <c r="D245" s="71" t="str">
        <f>Source!H253</f>
        <v>100 м3 бетона, бутобетона и железобетона в деле</v>
      </c>
      <c r="E245" s="72">
        <f>Source!I253</f>
        <v>2.76E-2</v>
      </c>
      <c r="F245" s="73">
        <f>IF(Source!AK253&lt;&gt; 0, Source!AK253,Source!AL253 + Source!AM253 + Source!AO253)</f>
        <v>57993.120000000003</v>
      </c>
      <c r="G245" s="74"/>
      <c r="H245" s="73"/>
      <c r="I245" s="74" t="str">
        <f>Source!BO253</f>
        <v>06-01-001-1</v>
      </c>
      <c r="J245" s="74"/>
      <c r="K245" s="73"/>
      <c r="L245" s="75"/>
      <c r="S245" s="52">
        <f>ROUND((Source!FX253/100)*((ROUND(Source!AF253*Source!I253, 2)+ROUND(Source!AE253*Source!I253, 2))), 2)</f>
        <v>43.07</v>
      </c>
      <c r="T245" s="52">
        <f>Source!X253</f>
        <v>1519.17</v>
      </c>
      <c r="U245" s="52">
        <f>ROUND((Source!FY253/100)*((ROUND(Source!AF253*Source!I253, 2)+ROUND(Source!AE253*Source!I253, 2))), 2)</f>
        <v>24.49</v>
      </c>
      <c r="V245" s="52">
        <f>Source!Y253</f>
        <v>863.84</v>
      </c>
    </row>
    <row r="246" spans="1:28" x14ac:dyDescent="0.2">
      <c r="C246" s="18" t="str">
        <f>"Объем: "&amp;Source!I253&amp;"=2,76/"&amp;"100"</f>
        <v>Объем: 0,0276=2,76/100</v>
      </c>
    </row>
    <row r="247" spans="1:28" ht="14.25" x14ac:dyDescent="0.2">
      <c r="A247" s="16"/>
      <c r="B247" s="17"/>
      <c r="C247" s="17" t="s">
        <v>1206</v>
      </c>
      <c r="D247" s="71"/>
      <c r="E247" s="72"/>
      <c r="F247" s="73">
        <f>Source!AO253</f>
        <v>1312.2</v>
      </c>
      <c r="G247" s="74" t="str">
        <f>Source!DG253</f>
        <v/>
      </c>
      <c r="H247" s="73">
        <f>ROUND(Source!AF253*Source!I253, 2)</f>
        <v>36.22</v>
      </c>
      <c r="I247" s="74"/>
      <c r="J247" s="74">
        <f>IF(Source!BA253&lt;&gt; 0, Source!BA253, 1)</f>
        <v>35.270000000000003</v>
      </c>
      <c r="K247" s="73">
        <f>Source!S253</f>
        <v>1277.3599999999999</v>
      </c>
      <c r="L247" s="75"/>
      <c r="R247" s="52">
        <f>H247</f>
        <v>36.22</v>
      </c>
    </row>
    <row r="248" spans="1:28" ht="14.25" x14ac:dyDescent="0.2">
      <c r="A248" s="16"/>
      <c r="B248" s="17"/>
      <c r="C248" s="17" t="s">
        <v>103</v>
      </c>
      <c r="D248" s="71"/>
      <c r="E248" s="72"/>
      <c r="F248" s="73">
        <f>Source!AM253</f>
        <v>1906.43</v>
      </c>
      <c r="G248" s="74" t="str">
        <f>Source!DE253</f>
        <v/>
      </c>
      <c r="H248" s="73">
        <f>ROUND((((Source!ET253)-(Source!EU253))+Source!AE253)*Source!I253, 2)</f>
        <v>52.62</v>
      </c>
      <c r="I248" s="74"/>
      <c r="J248" s="74">
        <f>IF(Source!BB253&lt;&gt; 0, Source!BB253, 1)</f>
        <v>12.02</v>
      </c>
      <c r="K248" s="73">
        <f>Source!Q253</f>
        <v>632.46</v>
      </c>
      <c r="L248" s="75"/>
    </row>
    <row r="249" spans="1:28" ht="14.25" x14ac:dyDescent="0.2">
      <c r="A249" s="16"/>
      <c r="B249" s="17"/>
      <c r="C249" s="17" t="s">
        <v>1212</v>
      </c>
      <c r="D249" s="71"/>
      <c r="E249" s="72"/>
      <c r="F249" s="73">
        <f>Source!AN253</f>
        <v>217.8</v>
      </c>
      <c r="G249" s="74" t="str">
        <f>Source!DF253</f>
        <v/>
      </c>
      <c r="H249" s="73">
        <f>ROUND(Source!AE253*Source!I253, 2)</f>
        <v>6.01</v>
      </c>
      <c r="I249" s="74"/>
      <c r="J249" s="74">
        <f>IF(Source!BS253&lt;&gt; 0, Source!BS253, 1)</f>
        <v>35.270000000000003</v>
      </c>
      <c r="K249" s="73">
        <f>Source!R253</f>
        <v>212.02</v>
      </c>
      <c r="L249" s="75"/>
      <c r="R249" s="52">
        <f>H249</f>
        <v>6.01</v>
      </c>
    </row>
    <row r="250" spans="1:28" ht="14.25" x14ac:dyDescent="0.2">
      <c r="A250" s="16"/>
      <c r="B250" s="17"/>
      <c r="C250" s="17" t="s">
        <v>1213</v>
      </c>
      <c r="D250" s="71"/>
      <c r="E250" s="72"/>
      <c r="F250" s="73">
        <f>Source!AL253</f>
        <v>54774.49</v>
      </c>
      <c r="G250" s="74" t="str">
        <f>Source!DD253</f>
        <v/>
      </c>
      <c r="H250" s="73">
        <f>ROUND(Source!AC253*Source!I253, 2)</f>
        <v>1511.78</v>
      </c>
      <c r="I250" s="74"/>
      <c r="J250" s="74">
        <f>IF(Source!BC253&lt;&gt; 0, Source!BC253, 1)</f>
        <v>10.52</v>
      </c>
      <c r="K250" s="73">
        <f>Source!P253</f>
        <v>15903.88</v>
      </c>
      <c r="L250" s="75"/>
    </row>
    <row r="251" spans="1:28" ht="14.25" x14ac:dyDescent="0.2">
      <c r="A251" s="16"/>
      <c r="B251" s="17"/>
      <c r="C251" s="17" t="s">
        <v>1207</v>
      </c>
      <c r="D251" s="71" t="s">
        <v>1208</v>
      </c>
      <c r="E251" s="72">
        <f>Source!BZ253</f>
        <v>102</v>
      </c>
      <c r="F251" s="76"/>
      <c r="G251" s="74"/>
      <c r="H251" s="73">
        <f>SUM(S245:S254)</f>
        <v>43.07</v>
      </c>
      <c r="I251" s="77"/>
      <c r="J251" s="17">
        <f>Source!AT253</f>
        <v>102</v>
      </c>
      <c r="K251" s="73">
        <f>SUM(T245:T254)</f>
        <v>1519.17</v>
      </c>
      <c r="L251" s="75"/>
    </row>
    <row r="252" spans="1:28" ht="14.25" x14ac:dyDescent="0.2">
      <c r="A252" s="16"/>
      <c r="B252" s="17"/>
      <c r="C252" s="17" t="s">
        <v>1209</v>
      </c>
      <c r="D252" s="71" t="s">
        <v>1208</v>
      </c>
      <c r="E252" s="72">
        <f>Source!CA253</f>
        <v>58</v>
      </c>
      <c r="F252" s="76"/>
      <c r="G252" s="74"/>
      <c r="H252" s="73">
        <f>SUM(U245:U254)</f>
        <v>24.49</v>
      </c>
      <c r="I252" s="77"/>
      <c r="J252" s="17">
        <f>Source!AU253</f>
        <v>58</v>
      </c>
      <c r="K252" s="73">
        <f>SUM(V245:V254)</f>
        <v>863.84</v>
      </c>
      <c r="L252" s="75"/>
    </row>
    <row r="253" spans="1:28" ht="14.25" x14ac:dyDescent="0.2">
      <c r="A253" s="16"/>
      <c r="B253" s="17"/>
      <c r="C253" s="17" t="s">
        <v>1210</v>
      </c>
      <c r="D253" s="71" t="s">
        <v>1211</v>
      </c>
      <c r="E253" s="72">
        <f>Source!AQ253</f>
        <v>180</v>
      </c>
      <c r="F253" s="73"/>
      <c r="G253" s="74" t="str">
        <f>Source!DI253</f>
        <v/>
      </c>
      <c r="H253" s="73"/>
      <c r="I253" s="74"/>
      <c r="J253" s="74"/>
      <c r="K253" s="73"/>
      <c r="L253" s="89">
        <f>Source!U253</f>
        <v>4.968</v>
      </c>
    </row>
    <row r="254" spans="1:28" ht="28.5" x14ac:dyDescent="0.2">
      <c r="A254" s="90" t="str">
        <f>Source!E254</f>
        <v>27,1</v>
      </c>
      <c r="B254" s="90" t="str">
        <f>Source!F254</f>
        <v>401-0061</v>
      </c>
      <c r="C254" s="90" t="str">
        <f>Source!G254</f>
        <v>Бетон тяжелый, крупность заполнителя 20 мм, класс В3,5 (М50)</v>
      </c>
      <c r="D254" s="91" t="str">
        <f>Source!H254</f>
        <v>м3</v>
      </c>
      <c r="E254" s="92">
        <f>Source!I254</f>
        <v>-2.8151999999999999</v>
      </c>
      <c r="F254" s="93">
        <f>Source!AK254</f>
        <v>512</v>
      </c>
      <c r="G254" s="94" t="s">
        <v>3</v>
      </c>
      <c r="H254" s="93">
        <f>ROUND(Source!AC254*Source!I254, 2)+ROUND((((Source!ET254)-(Source!EU254))+Source!AE254)*Source!I254, 2)+ROUND(Source!AF254*Source!I254, 2)</f>
        <v>-1441.38</v>
      </c>
      <c r="I254" s="91"/>
      <c r="J254" s="91">
        <f>IF(Source!BC254&lt;&gt; 0, Source!BC254, 1)</f>
        <v>10.78</v>
      </c>
      <c r="K254" s="93">
        <f>Source!O254</f>
        <v>-15538.1</v>
      </c>
      <c r="L254" s="93"/>
      <c r="S254" s="52">
        <f>ROUND((Source!FX254/100)*((ROUND(Source!AF254*Source!I254, 2)+ROUND(Source!AE254*Source!I254, 2))), 2)</f>
        <v>0</v>
      </c>
      <c r="T254" s="52">
        <f>Source!X254</f>
        <v>0</v>
      </c>
      <c r="U254" s="52">
        <f>ROUND((Source!FY254/100)*((ROUND(Source!AF254*Source!I254, 2)+ROUND(Source!AE254*Source!I254, 2))), 2)</f>
        <v>0</v>
      </c>
      <c r="V254" s="52">
        <f>Source!Y254</f>
        <v>0</v>
      </c>
      <c r="Y254" s="52">
        <f>IF(Source!BI254=3,H254, 0)</f>
        <v>0</v>
      </c>
      <c r="AA254" s="52">
        <f>ROUND(Source!AC254*Source!I254, 2)+ROUND((((Source!ET254)-(Source!EU254))+Source!AE254)*Source!I254, 2)+ROUND(Source!AF254*Source!I254, 2)</f>
        <v>-1441.38</v>
      </c>
      <c r="AB254" s="52">
        <f>Source!O254</f>
        <v>-15538.1</v>
      </c>
    </row>
    <row r="255" spans="1:28" ht="15" x14ac:dyDescent="0.2">
      <c r="G255" s="83">
        <f>ROUND(Source!AC253*Source!I253, 2)+ROUND(Source!AF253*Source!I253, 2)+ROUND((((Source!ET253)-(Source!EU253))+Source!AE253)*Source!I253, 2)+SUM(H251:H252)+SUM(AA254:AA254)</f>
        <v>226.79999999999973</v>
      </c>
      <c r="H255" s="83"/>
      <c r="J255" s="83">
        <f>Source!O253+SUM(K251:K252)+SUM(AB254:AB254)</f>
        <v>4658.6099999999988</v>
      </c>
      <c r="K255" s="83"/>
      <c r="L255" s="84">
        <f>Source!U253</f>
        <v>4.968</v>
      </c>
      <c r="O255" s="85">
        <f>G255</f>
        <v>226.79999999999973</v>
      </c>
      <c r="P255" s="85">
        <f>J255</f>
        <v>4658.6099999999988</v>
      </c>
      <c r="Q255" s="85">
        <f>L255</f>
        <v>4.968</v>
      </c>
      <c r="W255" s="52">
        <f>IF(Source!BI253&lt;=1,G255, 0)</f>
        <v>226.79999999999973</v>
      </c>
      <c r="X255" s="52">
        <f>IF(Source!BI253=2,G255, 0)</f>
        <v>0</v>
      </c>
      <c r="Y255" s="52">
        <f>IF(Source!BI253=3,G255, 0)</f>
        <v>0</v>
      </c>
      <c r="Z255" s="52">
        <f>IF(Source!BI253=4,G255, 0)</f>
        <v>0</v>
      </c>
    </row>
    <row r="256" spans="1:28" ht="28.5" x14ac:dyDescent="0.2">
      <c r="A256" s="16" t="str">
        <f>Source!E255</f>
        <v>28</v>
      </c>
      <c r="B256" s="17" t="str">
        <f>Source!F255</f>
        <v>401-0067</v>
      </c>
      <c r="C256" s="17" t="str">
        <f>Source!G255</f>
        <v>Бетон тяжелый, крупность заполнителя 20 мм, класс В20 (М250)</v>
      </c>
      <c r="D256" s="71" t="str">
        <f>Source!H255</f>
        <v>м3</v>
      </c>
      <c r="E256" s="72">
        <f>Source!I255</f>
        <v>2.8151999999999999</v>
      </c>
      <c r="F256" s="73">
        <f>IF(Source!AK255&lt;&gt; 0, Source!AK255,Source!AL255 + Source!AM255 + Source!AO255)</f>
        <v>635</v>
      </c>
      <c r="G256" s="74"/>
      <c r="H256" s="73"/>
      <c r="I256" s="74" t="str">
        <f>Source!BO255</f>
        <v>401-0067</v>
      </c>
      <c r="J256" s="74"/>
      <c r="K256" s="73"/>
      <c r="L256" s="75"/>
      <c r="S256" s="52">
        <f>ROUND((Source!FX255/100)*((ROUND(Source!AF255*Source!I255, 2)+ROUND(Source!AE255*Source!I255, 2))), 2)</f>
        <v>0</v>
      </c>
      <c r="T256" s="52">
        <f>Source!X255</f>
        <v>0</v>
      </c>
      <c r="U256" s="52">
        <f>ROUND((Source!FY255/100)*((ROUND(Source!AF255*Source!I255, 2)+ROUND(Source!AE255*Source!I255, 2))), 2)</f>
        <v>0</v>
      </c>
      <c r="V256" s="52">
        <f>Source!Y255</f>
        <v>0</v>
      </c>
    </row>
    <row r="257" spans="1:28" ht="14.25" x14ac:dyDescent="0.2">
      <c r="A257" s="20"/>
      <c r="B257" s="21"/>
      <c r="C257" s="21" t="s">
        <v>1213</v>
      </c>
      <c r="D257" s="78"/>
      <c r="E257" s="79"/>
      <c r="F257" s="80">
        <f>Source!AL255</f>
        <v>635</v>
      </c>
      <c r="G257" s="81" t="str">
        <f>Source!DD255</f>
        <v/>
      </c>
      <c r="H257" s="80">
        <f>ROUND(Source!AC255*Source!I255, 2)</f>
        <v>1787.65</v>
      </c>
      <c r="I257" s="81"/>
      <c r="J257" s="81">
        <f>IF(Source!BC255&lt;&gt; 0, Source!BC255, 1)</f>
        <v>11.17</v>
      </c>
      <c r="K257" s="80">
        <f>Source!P255</f>
        <v>19968.07</v>
      </c>
      <c r="L257" s="100"/>
    </row>
    <row r="258" spans="1:28" ht="15" x14ac:dyDescent="0.2">
      <c r="G258" s="83">
        <f>ROUND(Source!AC255*Source!I255, 2)+ROUND(Source!AF255*Source!I255, 2)+ROUND((((Source!ET255)-(Source!EU255))+Source!AE255)*Source!I255, 2)</f>
        <v>1787.65</v>
      </c>
      <c r="H258" s="83"/>
      <c r="J258" s="83">
        <f>Source!O255</f>
        <v>19968.07</v>
      </c>
      <c r="K258" s="83"/>
      <c r="L258" s="84">
        <f>Source!U255</f>
        <v>0</v>
      </c>
      <c r="O258" s="85">
        <f>G258</f>
        <v>1787.65</v>
      </c>
      <c r="P258" s="85">
        <f>J258</f>
        <v>19968.07</v>
      </c>
      <c r="Q258" s="85">
        <f>L258</f>
        <v>0</v>
      </c>
      <c r="W258" s="52">
        <f>IF(Source!BI255&lt;=1,G258, 0)</f>
        <v>1787.65</v>
      </c>
      <c r="X258" s="52">
        <f>IF(Source!BI255=2,G258, 0)</f>
        <v>0</v>
      </c>
      <c r="Y258" s="52">
        <f>IF(Source!BI255=3,G258, 0)</f>
        <v>0</v>
      </c>
      <c r="Z258" s="52">
        <f>IF(Source!BI255=4,G258, 0)</f>
        <v>0</v>
      </c>
    </row>
    <row r="259" spans="1:28" ht="42.75" x14ac:dyDescent="0.2">
      <c r="A259" s="16" t="str">
        <f>Source!E257</f>
        <v>29</v>
      </c>
      <c r="B259" s="17" t="str">
        <f>Source!F257</f>
        <v>09-08-001-3</v>
      </c>
      <c r="C259" s="17" t="str">
        <f>Source!G257</f>
        <v>Установка металлических столбов высотой до 4 м на подготовленный бетонный фундамент</v>
      </c>
      <c r="D259" s="71" t="str">
        <f>Source!H257</f>
        <v>100 столбов</v>
      </c>
      <c r="E259" s="72">
        <f>Source!I257</f>
        <v>0.06</v>
      </c>
      <c r="F259" s="73">
        <f>IF(Source!AK257&lt;&gt; 0, Source!AK257,Source!AL257 + Source!AM257 + Source!AO257)</f>
        <v>1564.71</v>
      </c>
      <c r="G259" s="74"/>
      <c r="H259" s="73"/>
      <c r="I259" s="74" t="str">
        <f>Source!BO257</f>
        <v>09-08-001-3</v>
      </c>
      <c r="J259" s="74"/>
      <c r="K259" s="73"/>
      <c r="L259" s="75"/>
      <c r="S259" s="52">
        <f>ROUND((Source!FX257/100)*((ROUND(Source!AF257*Source!I257, 2)+ROUND(Source!AE257*Source!I257, 2))), 2)</f>
        <v>35.869999999999997</v>
      </c>
      <c r="T259" s="52">
        <f>Source!X257</f>
        <v>1265.3800000000001</v>
      </c>
      <c r="U259" s="52">
        <f>ROUND((Source!FY257/100)*((ROUND(Source!AF257*Source!I257, 2)+ROUND(Source!AE257*Source!I257, 2))), 2)</f>
        <v>23.91</v>
      </c>
      <c r="V259" s="52">
        <f>Source!Y257</f>
        <v>843.58</v>
      </c>
    </row>
    <row r="260" spans="1:28" x14ac:dyDescent="0.2">
      <c r="C260" s="18" t="str">
        <f>"Объем: "&amp;Source!I257&amp;"=6/"&amp;"100"</f>
        <v>Объем: 0,06=6/100</v>
      </c>
    </row>
    <row r="261" spans="1:28" ht="14.25" x14ac:dyDescent="0.2">
      <c r="A261" s="16"/>
      <c r="B261" s="17"/>
      <c r="C261" s="17" t="s">
        <v>1206</v>
      </c>
      <c r="D261" s="71"/>
      <c r="E261" s="72"/>
      <c r="F261" s="73">
        <f>Source!AO257</f>
        <v>351.08</v>
      </c>
      <c r="G261" s="74" t="str">
        <f>Source!DG257</f>
        <v/>
      </c>
      <c r="H261" s="73">
        <f>ROUND(Source!AF257*Source!I257, 2)</f>
        <v>21.06</v>
      </c>
      <c r="I261" s="74"/>
      <c r="J261" s="74">
        <f>IF(Source!BA257&lt;&gt; 0, Source!BA257, 1)</f>
        <v>35.270000000000003</v>
      </c>
      <c r="K261" s="73">
        <f>Source!S257</f>
        <v>742.96</v>
      </c>
      <c r="L261" s="75"/>
      <c r="R261" s="52">
        <f>H261</f>
        <v>21.06</v>
      </c>
    </row>
    <row r="262" spans="1:28" ht="14.25" x14ac:dyDescent="0.2">
      <c r="A262" s="16"/>
      <c r="B262" s="17"/>
      <c r="C262" s="17" t="s">
        <v>103</v>
      </c>
      <c r="D262" s="71"/>
      <c r="E262" s="72"/>
      <c r="F262" s="73">
        <f>Source!AM257</f>
        <v>1213.6300000000001</v>
      </c>
      <c r="G262" s="74" t="str">
        <f>Source!DE257</f>
        <v/>
      </c>
      <c r="H262" s="73">
        <f>ROUND((((Source!ET257)-(Source!EU257))+Source!AE257)*Source!I257, 2)</f>
        <v>72.819999999999993</v>
      </c>
      <c r="I262" s="74"/>
      <c r="J262" s="74">
        <f>IF(Source!BB257&lt;&gt; 0, Source!BB257, 1)</f>
        <v>12.92</v>
      </c>
      <c r="K262" s="73">
        <f>Source!Q257</f>
        <v>940.81</v>
      </c>
      <c r="L262" s="75"/>
    </row>
    <row r="263" spans="1:28" ht="14.25" x14ac:dyDescent="0.2">
      <c r="A263" s="16"/>
      <c r="B263" s="17"/>
      <c r="C263" s="17" t="s">
        <v>1212</v>
      </c>
      <c r="D263" s="71"/>
      <c r="E263" s="72"/>
      <c r="F263" s="73">
        <f>Source!AN257</f>
        <v>291.87</v>
      </c>
      <c r="G263" s="74" t="str">
        <f>Source!DF257</f>
        <v/>
      </c>
      <c r="H263" s="73">
        <f>ROUND(Source!AE257*Source!I257, 2)</f>
        <v>17.510000000000002</v>
      </c>
      <c r="I263" s="74"/>
      <c r="J263" s="74">
        <f>IF(Source!BS257&lt;&gt; 0, Source!BS257, 1)</f>
        <v>35.270000000000003</v>
      </c>
      <c r="K263" s="73">
        <f>Source!R257</f>
        <v>617.66</v>
      </c>
      <c r="L263" s="75"/>
      <c r="R263" s="52">
        <f>H263</f>
        <v>17.510000000000002</v>
      </c>
    </row>
    <row r="264" spans="1:28" ht="14.25" x14ac:dyDescent="0.2">
      <c r="A264" s="16"/>
      <c r="B264" s="17"/>
      <c r="C264" s="17" t="s">
        <v>1207</v>
      </c>
      <c r="D264" s="71" t="s">
        <v>1208</v>
      </c>
      <c r="E264" s="72">
        <f>Source!BZ257</f>
        <v>93</v>
      </c>
      <c r="F264" s="76"/>
      <c r="G264" s="74"/>
      <c r="H264" s="73">
        <f>SUM(S259:S268)</f>
        <v>35.869999999999997</v>
      </c>
      <c r="I264" s="77"/>
      <c r="J264" s="17">
        <f>Source!AT257</f>
        <v>93</v>
      </c>
      <c r="K264" s="73">
        <f>SUM(T259:T268)</f>
        <v>1265.3800000000001</v>
      </c>
      <c r="L264" s="75"/>
    </row>
    <row r="265" spans="1:28" ht="14.25" x14ac:dyDescent="0.2">
      <c r="A265" s="16"/>
      <c r="B265" s="17"/>
      <c r="C265" s="17" t="s">
        <v>1209</v>
      </c>
      <c r="D265" s="71" t="s">
        <v>1208</v>
      </c>
      <c r="E265" s="72">
        <f>Source!CA257</f>
        <v>62</v>
      </c>
      <c r="F265" s="76"/>
      <c r="G265" s="74"/>
      <c r="H265" s="73">
        <f>SUM(U259:U268)</f>
        <v>23.91</v>
      </c>
      <c r="I265" s="77"/>
      <c r="J265" s="17">
        <f>Source!AU257</f>
        <v>62</v>
      </c>
      <c r="K265" s="73">
        <f>SUM(V259:V268)</f>
        <v>843.58</v>
      </c>
      <c r="L265" s="75"/>
    </row>
    <row r="266" spans="1:28" ht="14.25" x14ac:dyDescent="0.2">
      <c r="A266" s="16"/>
      <c r="B266" s="17"/>
      <c r="C266" s="17" t="s">
        <v>1210</v>
      </c>
      <c r="D266" s="71" t="s">
        <v>1211</v>
      </c>
      <c r="E266" s="72">
        <f>Source!AQ257</f>
        <v>44.05</v>
      </c>
      <c r="F266" s="73"/>
      <c r="G266" s="74" t="str">
        <f>Source!DI257</f>
        <v/>
      </c>
      <c r="H266" s="73"/>
      <c r="I266" s="74"/>
      <c r="J266" s="74"/>
      <c r="K266" s="73"/>
      <c r="L266" s="89">
        <f>Source!U257</f>
        <v>2.6429999999999998</v>
      </c>
    </row>
    <row r="267" spans="1:28" ht="14.25" x14ac:dyDescent="0.2">
      <c r="A267" s="95" t="str">
        <f>Source!E258</f>
        <v>29,1</v>
      </c>
      <c r="B267" s="95" t="str">
        <f>Source!F258</f>
        <v>101-9662</v>
      </c>
      <c r="C267" s="95" t="str">
        <f>Source!G258</f>
        <v>Болты анкерные</v>
      </c>
      <c r="D267" s="96" t="str">
        <f>Source!H258</f>
        <v>т</v>
      </c>
      <c r="E267" s="97">
        <f>Source!I258</f>
        <v>1.8E-3</v>
      </c>
      <c r="F267" s="98">
        <f>Source!AK258</f>
        <v>0</v>
      </c>
      <c r="G267" s="99" t="s">
        <v>3</v>
      </c>
      <c r="H267" s="98">
        <f>ROUND(Source!AC258*Source!I258, 2)+ROUND((((Source!ET258)-(Source!EU258))+Source!AE258)*Source!I258, 2)+ROUND(Source!AF258*Source!I258, 2)</f>
        <v>0</v>
      </c>
      <c r="I267" s="96"/>
      <c r="J267" s="96">
        <f>IF(Source!BC258&lt;&gt; 0, Source!BC258, 1)</f>
        <v>1</v>
      </c>
      <c r="K267" s="98">
        <f>Source!O258</f>
        <v>0</v>
      </c>
      <c r="L267" s="98"/>
      <c r="S267" s="52">
        <f>ROUND((Source!FX258/100)*((ROUND(Source!AF258*Source!I258, 2)+ROUND(Source!AE258*Source!I258, 2))), 2)</f>
        <v>0</v>
      </c>
      <c r="T267" s="52">
        <f>Source!X258</f>
        <v>0</v>
      </c>
      <c r="U267" s="52">
        <f>ROUND((Source!FY258/100)*((ROUND(Source!AF258*Source!I258, 2)+ROUND(Source!AE258*Source!I258, 2))), 2)</f>
        <v>0</v>
      </c>
      <c r="V267" s="52">
        <f>Source!Y258</f>
        <v>0</v>
      </c>
      <c r="Y267" s="52">
        <f>IF(Source!BI258=3,H267, 0)</f>
        <v>0</v>
      </c>
      <c r="AA267" s="52">
        <f>ROUND(Source!AC258*Source!I258, 2)+ROUND((((Source!ET258)-(Source!EU258))+Source!AE258)*Source!I258, 2)+ROUND(Source!AF258*Source!I258, 2)</f>
        <v>0</v>
      </c>
      <c r="AB267" s="52">
        <f>Source!O258</f>
        <v>0</v>
      </c>
    </row>
    <row r="268" spans="1:28" ht="14.25" x14ac:dyDescent="0.2">
      <c r="A268" s="90" t="str">
        <f>Source!E259</f>
        <v>29,2</v>
      </c>
      <c r="B268" s="90" t="str">
        <f>Source!F259</f>
        <v>201-9212</v>
      </c>
      <c r="C268" s="90" t="str">
        <f>Source!G259</f>
        <v>Стойки металлические опорные</v>
      </c>
      <c r="D268" s="91" t="str">
        <f>Source!H259</f>
        <v>шт.</v>
      </c>
      <c r="E268" s="92">
        <f>Source!I259</f>
        <v>6</v>
      </c>
      <c r="F268" s="93">
        <f>Source!AK259</f>
        <v>0</v>
      </c>
      <c r="G268" s="94" t="s">
        <v>3</v>
      </c>
      <c r="H268" s="93">
        <f>ROUND(Source!AC259*Source!I259, 2)+ROUND((((Source!ET259)-(Source!EU259))+Source!AE259)*Source!I259, 2)+ROUND(Source!AF259*Source!I259, 2)</f>
        <v>0</v>
      </c>
      <c r="I268" s="91"/>
      <c r="J268" s="91">
        <f>IF(Source!BC259&lt;&gt; 0, Source!BC259, 1)</f>
        <v>1</v>
      </c>
      <c r="K268" s="93">
        <f>Source!O259</f>
        <v>0</v>
      </c>
      <c r="L268" s="93"/>
      <c r="S268" s="52">
        <f>ROUND((Source!FX259/100)*((ROUND(Source!AF259*Source!I259, 2)+ROUND(Source!AE259*Source!I259, 2))), 2)</f>
        <v>0</v>
      </c>
      <c r="T268" s="52">
        <f>Source!X259</f>
        <v>0</v>
      </c>
      <c r="U268" s="52">
        <f>ROUND((Source!FY259/100)*((ROUND(Source!AF259*Source!I259, 2)+ROUND(Source!AE259*Source!I259, 2))), 2)</f>
        <v>0</v>
      </c>
      <c r="V268" s="52">
        <f>Source!Y259</f>
        <v>0</v>
      </c>
      <c r="Y268" s="52">
        <f>IF(Source!BI259=3,H268, 0)</f>
        <v>0</v>
      </c>
      <c r="AA268" s="52">
        <f>ROUND(Source!AC259*Source!I259, 2)+ROUND((((Source!ET259)-(Source!EU259))+Source!AE259)*Source!I259, 2)+ROUND(Source!AF259*Source!I259, 2)</f>
        <v>0</v>
      </c>
      <c r="AB268" s="52">
        <f>Source!O259</f>
        <v>0</v>
      </c>
    </row>
    <row r="269" spans="1:28" ht="15" x14ac:dyDescent="0.2">
      <c r="G269" s="83">
        <f>ROUND(Source!AC257*Source!I257, 2)+ROUND(Source!AF257*Source!I257, 2)+ROUND((((Source!ET257)-(Source!EU257))+Source!AE257)*Source!I257, 2)+SUM(H264:H265)+SUM(AA267:AA268)</f>
        <v>153.66</v>
      </c>
      <c r="H269" s="83"/>
      <c r="J269" s="83">
        <f>Source!O257+SUM(K264:K265)+SUM(AB267:AB268)</f>
        <v>3792.73</v>
      </c>
      <c r="K269" s="83"/>
      <c r="L269" s="84">
        <f>Source!U257</f>
        <v>2.6429999999999998</v>
      </c>
      <c r="O269" s="85">
        <f>G269</f>
        <v>153.66</v>
      </c>
      <c r="P269" s="85">
        <f>J269</f>
        <v>3792.73</v>
      </c>
      <c r="Q269" s="85">
        <f>L269</f>
        <v>2.6429999999999998</v>
      </c>
      <c r="W269" s="52">
        <f>IF(Source!BI257&lt;=1,G269, 0)</f>
        <v>153.66</v>
      </c>
      <c r="X269" s="52">
        <f>IF(Source!BI257=2,G269, 0)</f>
        <v>0</v>
      </c>
      <c r="Y269" s="52">
        <f>IF(Source!BI257=3,G269, 0)</f>
        <v>0</v>
      </c>
      <c r="Z269" s="52">
        <f>IF(Source!BI257=4,G269, 0)</f>
        <v>0</v>
      </c>
    </row>
    <row r="270" spans="1:28" ht="42.75" x14ac:dyDescent="0.2">
      <c r="A270" s="16" t="str">
        <f>Source!E260</f>
        <v>30</v>
      </c>
      <c r="B270" s="17" t="str">
        <f>Source!F260</f>
        <v>103-1569</v>
      </c>
      <c r="C270" s="17" t="str">
        <f>Source!G260</f>
        <v>Трубы стальные квадратные из стали марки ст1-3сп/пс размером 60х60 мм, толщина стенки 3 мм</v>
      </c>
      <c r="D270" s="71" t="str">
        <f>Source!H260</f>
        <v>т</v>
      </c>
      <c r="E270" s="72">
        <f>Source!I260</f>
        <v>5.67E-2</v>
      </c>
      <c r="F270" s="73">
        <f>IF(Source!AK260&lt;&gt; 0, Source!AK260,Source!AL260 + Source!AM260 + Source!AO260)</f>
        <v>6232.24</v>
      </c>
      <c r="G270" s="74"/>
      <c r="H270" s="73"/>
      <c r="I270" s="74" t="str">
        <f>Source!BO260</f>
        <v>103-1569</v>
      </c>
      <c r="J270" s="74"/>
      <c r="K270" s="73"/>
      <c r="L270" s="75"/>
      <c r="S270" s="52">
        <f>ROUND((Source!FX260/100)*((ROUND(Source!AF260*Source!I260, 2)+ROUND(Source!AE260*Source!I260, 2))), 2)</f>
        <v>0</v>
      </c>
      <c r="T270" s="52">
        <f>Source!X260</f>
        <v>0</v>
      </c>
      <c r="U270" s="52">
        <f>ROUND((Source!FY260/100)*((ROUND(Source!AF260*Source!I260, 2)+ROUND(Source!AE260*Source!I260, 2))), 2)</f>
        <v>0</v>
      </c>
      <c r="V270" s="52">
        <f>Source!Y260</f>
        <v>0</v>
      </c>
    </row>
    <row r="271" spans="1:28" ht="14.25" x14ac:dyDescent="0.2">
      <c r="A271" s="20"/>
      <c r="B271" s="21"/>
      <c r="C271" s="21" t="s">
        <v>1213</v>
      </c>
      <c r="D271" s="78"/>
      <c r="E271" s="79"/>
      <c r="F271" s="80">
        <f>Source!AL260</f>
        <v>6232.24</v>
      </c>
      <c r="G271" s="81" t="str">
        <f>Source!DD260</f>
        <v/>
      </c>
      <c r="H271" s="80">
        <f>ROUND(Source!AC260*Source!I260, 2)</f>
        <v>353.37</v>
      </c>
      <c r="I271" s="81"/>
      <c r="J271" s="81">
        <f>IF(Source!BC260&lt;&gt; 0, Source!BC260, 1)</f>
        <v>10.65</v>
      </c>
      <c r="K271" s="80">
        <f>Source!P260</f>
        <v>3763.37</v>
      </c>
      <c r="L271" s="100"/>
    </row>
    <row r="272" spans="1:28" ht="15" x14ac:dyDescent="0.2">
      <c r="G272" s="83">
        <f>ROUND(Source!AC260*Source!I260, 2)+ROUND(Source!AF260*Source!I260, 2)+ROUND((((Source!ET260)-(Source!EU260))+Source!AE260)*Source!I260, 2)</f>
        <v>353.37</v>
      </c>
      <c r="H272" s="83"/>
      <c r="J272" s="83">
        <f>Source!O260</f>
        <v>3763.37</v>
      </c>
      <c r="K272" s="83"/>
      <c r="L272" s="84">
        <f>Source!U260</f>
        <v>0</v>
      </c>
      <c r="O272" s="85">
        <f>G272</f>
        <v>353.37</v>
      </c>
      <c r="P272" s="85">
        <f>J272</f>
        <v>3763.37</v>
      </c>
      <c r="Q272" s="85">
        <f>L272</f>
        <v>0</v>
      </c>
      <c r="W272" s="52">
        <f>IF(Source!BI260&lt;=1,G272, 0)</f>
        <v>353.37</v>
      </c>
      <c r="X272" s="52">
        <f>IF(Source!BI260=2,G272, 0)</f>
        <v>0</v>
      </c>
      <c r="Y272" s="52">
        <f>IF(Source!BI260=3,G272, 0)</f>
        <v>0</v>
      </c>
      <c r="Z272" s="52">
        <f>IF(Source!BI260=4,G272, 0)</f>
        <v>0</v>
      </c>
    </row>
    <row r="273" spans="1:28" ht="57" x14ac:dyDescent="0.2">
      <c r="A273" s="16" t="str">
        <f>Source!E261</f>
        <v>31</v>
      </c>
      <c r="B273" s="17" t="str">
        <f>Source!F261</f>
        <v>09-03-014-1</v>
      </c>
      <c r="C273" s="17" t="str">
        <f>Source!G261</f>
        <v>Монтаж связей и распорок из одиночных и парных уголков, гнутосварных профилей для пролетов до 24 м при высоте здания до 25 м</v>
      </c>
      <c r="D273" s="71" t="str">
        <f>Source!H261</f>
        <v>1 т конструкций</v>
      </c>
      <c r="E273" s="72">
        <f>Source!I261</f>
        <v>5.0999999999999997E-2</v>
      </c>
      <c r="F273" s="73">
        <f>IF(Source!AK261&lt;&gt; 0, Source!AK261,Source!AL261 + Source!AM261 + Source!AO261)</f>
        <v>1313.7</v>
      </c>
      <c r="G273" s="74"/>
      <c r="H273" s="73"/>
      <c r="I273" s="74" t="str">
        <f>Source!BO261</f>
        <v>09-03-014-1</v>
      </c>
      <c r="J273" s="74"/>
      <c r="K273" s="73"/>
      <c r="L273" s="75"/>
      <c r="S273" s="52">
        <f>ROUND((Source!FX261/100)*((ROUND(Source!AF261*Source!I261, 2)+ROUND(Source!AE261*Source!I261, 2))), 2)</f>
        <v>26.72</v>
      </c>
      <c r="T273" s="52">
        <f>Source!X261</f>
        <v>942.43</v>
      </c>
      <c r="U273" s="52">
        <f>ROUND((Source!FY261/100)*((ROUND(Source!AF261*Source!I261, 2)+ROUND(Source!AE261*Source!I261, 2))), 2)</f>
        <v>17.809999999999999</v>
      </c>
      <c r="V273" s="52">
        <f>Source!Y261</f>
        <v>628.29</v>
      </c>
    </row>
    <row r="274" spans="1:28" ht="14.25" x14ac:dyDescent="0.2">
      <c r="A274" s="16"/>
      <c r="B274" s="17"/>
      <c r="C274" s="17" t="s">
        <v>1206</v>
      </c>
      <c r="D274" s="71"/>
      <c r="E274" s="72"/>
      <c r="F274" s="73">
        <f>Source!AO261</f>
        <v>517</v>
      </c>
      <c r="G274" s="74" t="str">
        <f>Source!DG261</f>
        <v/>
      </c>
      <c r="H274" s="73">
        <f>ROUND(Source!AF261*Source!I261, 2)</f>
        <v>26.37</v>
      </c>
      <c r="I274" s="74"/>
      <c r="J274" s="74">
        <f>IF(Source!BA261&lt;&gt; 0, Source!BA261, 1)</f>
        <v>35.270000000000003</v>
      </c>
      <c r="K274" s="73">
        <f>Source!S261</f>
        <v>929.96</v>
      </c>
      <c r="L274" s="75"/>
      <c r="R274" s="52">
        <f>H274</f>
        <v>26.37</v>
      </c>
    </row>
    <row r="275" spans="1:28" ht="14.25" x14ac:dyDescent="0.2">
      <c r="A275" s="16"/>
      <c r="B275" s="17"/>
      <c r="C275" s="17" t="s">
        <v>103</v>
      </c>
      <c r="D275" s="71"/>
      <c r="E275" s="72"/>
      <c r="F275" s="73">
        <f>Source!AM261</f>
        <v>563.76</v>
      </c>
      <c r="G275" s="74" t="str">
        <f>Source!DE261</f>
        <v/>
      </c>
      <c r="H275" s="73">
        <f>ROUND((((Source!ET261)-(Source!EU261))+Source!AE261)*Source!I261, 2)</f>
        <v>28.75</v>
      </c>
      <c r="I275" s="74"/>
      <c r="J275" s="74">
        <f>IF(Source!BB261&lt;&gt; 0, Source!BB261, 1)</f>
        <v>14.82</v>
      </c>
      <c r="K275" s="73">
        <f>Source!Q261</f>
        <v>426.1</v>
      </c>
      <c r="L275" s="75"/>
    </row>
    <row r="276" spans="1:28" ht="14.25" x14ac:dyDescent="0.2">
      <c r="A276" s="16"/>
      <c r="B276" s="17"/>
      <c r="C276" s="17" t="s">
        <v>1212</v>
      </c>
      <c r="D276" s="71"/>
      <c r="E276" s="72"/>
      <c r="F276" s="73">
        <f>Source!AN261</f>
        <v>46.37</v>
      </c>
      <c r="G276" s="74" t="str">
        <f>Source!DF261</f>
        <v/>
      </c>
      <c r="H276" s="73">
        <f>ROUND(Source!AE261*Source!I261, 2)</f>
        <v>2.36</v>
      </c>
      <c r="I276" s="74"/>
      <c r="J276" s="74">
        <f>IF(Source!BS261&lt;&gt; 0, Source!BS261, 1)</f>
        <v>35.270000000000003</v>
      </c>
      <c r="K276" s="73">
        <f>Source!R261</f>
        <v>83.41</v>
      </c>
      <c r="L276" s="75"/>
      <c r="R276" s="52">
        <f>H276</f>
        <v>2.36</v>
      </c>
    </row>
    <row r="277" spans="1:28" ht="14.25" x14ac:dyDescent="0.2">
      <c r="A277" s="16"/>
      <c r="B277" s="17"/>
      <c r="C277" s="17" t="s">
        <v>1213</v>
      </c>
      <c r="D277" s="71"/>
      <c r="E277" s="72"/>
      <c r="F277" s="73">
        <f>Source!AL261</f>
        <v>232.94</v>
      </c>
      <c r="G277" s="74" t="str">
        <f>Source!DD261</f>
        <v/>
      </c>
      <c r="H277" s="73">
        <f>ROUND(Source!AC261*Source!I261, 2)</f>
        <v>11.88</v>
      </c>
      <c r="I277" s="74"/>
      <c r="J277" s="74">
        <f>IF(Source!BC261&lt;&gt; 0, Source!BC261, 1)</f>
        <v>20.96</v>
      </c>
      <c r="K277" s="73">
        <f>Source!P261</f>
        <v>249</v>
      </c>
      <c r="L277" s="75"/>
    </row>
    <row r="278" spans="1:28" ht="14.25" x14ac:dyDescent="0.2">
      <c r="A278" s="16"/>
      <c r="B278" s="17"/>
      <c r="C278" s="17" t="s">
        <v>1207</v>
      </c>
      <c r="D278" s="71" t="s">
        <v>1208</v>
      </c>
      <c r="E278" s="72">
        <f>Source!BZ261</f>
        <v>93</v>
      </c>
      <c r="F278" s="76"/>
      <c r="G278" s="74"/>
      <c r="H278" s="73">
        <f>SUM(S273:S281)</f>
        <v>26.72</v>
      </c>
      <c r="I278" s="77"/>
      <c r="J278" s="17">
        <f>Source!AT261</f>
        <v>93</v>
      </c>
      <c r="K278" s="73">
        <f>SUM(T273:T281)</f>
        <v>942.43</v>
      </c>
      <c r="L278" s="75"/>
    </row>
    <row r="279" spans="1:28" ht="14.25" x14ac:dyDescent="0.2">
      <c r="A279" s="16"/>
      <c r="B279" s="17"/>
      <c r="C279" s="17" t="s">
        <v>1209</v>
      </c>
      <c r="D279" s="71" t="s">
        <v>1208</v>
      </c>
      <c r="E279" s="72">
        <f>Source!CA261</f>
        <v>62</v>
      </c>
      <c r="F279" s="76"/>
      <c r="G279" s="74"/>
      <c r="H279" s="73">
        <f>SUM(U273:U281)</f>
        <v>17.809999999999999</v>
      </c>
      <c r="I279" s="77"/>
      <c r="J279" s="17">
        <f>Source!AU261</f>
        <v>62</v>
      </c>
      <c r="K279" s="73">
        <f>SUM(V273:V281)</f>
        <v>628.29</v>
      </c>
      <c r="L279" s="75"/>
    </row>
    <row r="280" spans="1:28" ht="14.25" x14ac:dyDescent="0.2">
      <c r="A280" s="16"/>
      <c r="B280" s="17"/>
      <c r="C280" s="17" t="s">
        <v>1210</v>
      </c>
      <c r="D280" s="71" t="s">
        <v>1211</v>
      </c>
      <c r="E280" s="72">
        <f>Source!AQ261</f>
        <v>63.28</v>
      </c>
      <c r="F280" s="73"/>
      <c r="G280" s="74" t="str">
        <f>Source!DI261</f>
        <v/>
      </c>
      <c r="H280" s="73"/>
      <c r="I280" s="74"/>
      <c r="J280" s="74"/>
      <c r="K280" s="73"/>
      <c r="L280" s="89">
        <f>Source!U261</f>
        <v>3.2272799999999999</v>
      </c>
    </row>
    <row r="281" spans="1:28" ht="14.25" x14ac:dyDescent="0.2">
      <c r="A281" s="90" t="str">
        <f>Source!E262</f>
        <v>31,1</v>
      </c>
      <c r="B281" s="90" t="str">
        <f>Source!F262</f>
        <v>201-9002</v>
      </c>
      <c r="C281" s="90" t="str">
        <f>Source!G262</f>
        <v>Конструкции стальные</v>
      </c>
      <c r="D281" s="91" t="str">
        <f>Source!H262</f>
        <v>т</v>
      </c>
      <c r="E281" s="92">
        <f>Source!I262</f>
        <v>5.0999999999999997E-2</v>
      </c>
      <c r="F281" s="93">
        <f>Source!AK262</f>
        <v>0</v>
      </c>
      <c r="G281" s="94" t="s">
        <v>3</v>
      </c>
      <c r="H281" s="93">
        <f>ROUND(Source!AC262*Source!I262, 2)+ROUND((((Source!ET262)-(Source!EU262))+Source!AE262)*Source!I262, 2)+ROUND(Source!AF262*Source!I262, 2)</f>
        <v>0</v>
      </c>
      <c r="I281" s="91"/>
      <c r="J281" s="91">
        <f>IF(Source!BC262&lt;&gt; 0, Source!BC262, 1)</f>
        <v>1</v>
      </c>
      <c r="K281" s="93">
        <f>Source!O262</f>
        <v>0</v>
      </c>
      <c r="L281" s="93"/>
      <c r="S281" s="52">
        <f>ROUND((Source!FX262/100)*((ROUND(Source!AF262*Source!I262, 2)+ROUND(Source!AE262*Source!I262, 2))), 2)</f>
        <v>0</v>
      </c>
      <c r="T281" s="52">
        <f>Source!X262</f>
        <v>0</v>
      </c>
      <c r="U281" s="52">
        <f>ROUND((Source!FY262/100)*((ROUND(Source!AF262*Source!I262, 2)+ROUND(Source!AE262*Source!I262, 2))), 2)</f>
        <v>0</v>
      </c>
      <c r="V281" s="52">
        <f>Source!Y262</f>
        <v>0</v>
      </c>
      <c r="Y281" s="52">
        <f>IF(Source!BI262=3,H281, 0)</f>
        <v>0</v>
      </c>
      <c r="AA281" s="52">
        <f>ROUND(Source!AC262*Source!I262, 2)+ROUND((((Source!ET262)-(Source!EU262))+Source!AE262)*Source!I262, 2)+ROUND(Source!AF262*Source!I262, 2)</f>
        <v>0</v>
      </c>
      <c r="AB281" s="52">
        <f>Source!O262</f>
        <v>0</v>
      </c>
    </row>
    <row r="282" spans="1:28" ht="15" x14ac:dyDescent="0.2">
      <c r="G282" s="83">
        <f>ROUND(Source!AC261*Source!I261, 2)+ROUND(Source!AF261*Source!I261, 2)+ROUND((((Source!ET261)-(Source!EU261))+Source!AE261)*Source!I261, 2)+SUM(H278:H279)+SUM(AA281:AA281)</f>
        <v>111.53</v>
      </c>
      <c r="H282" s="83"/>
      <c r="J282" s="83">
        <f>Source!O261+SUM(K278:K279)+SUM(AB281:AB281)</f>
        <v>3175.7799999999997</v>
      </c>
      <c r="K282" s="83"/>
      <c r="L282" s="84">
        <f>Source!U261</f>
        <v>3.2272799999999999</v>
      </c>
      <c r="O282" s="85">
        <f>G282</f>
        <v>111.53</v>
      </c>
      <c r="P282" s="85">
        <f>J282</f>
        <v>3175.7799999999997</v>
      </c>
      <c r="Q282" s="85">
        <f>L282</f>
        <v>3.2272799999999999</v>
      </c>
      <c r="W282" s="52">
        <f>IF(Source!BI261&lt;=1,G282, 0)</f>
        <v>111.53</v>
      </c>
      <c r="X282" s="52">
        <f>IF(Source!BI261=2,G282, 0)</f>
        <v>0</v>
      </c>
      <c r="Y282" s="52">
        <f>IF(Source!BI261=3,G282, 0)</f>
        <v>0</v>
      </c>
      <c r="Z282" s="52">
        <f>IF(Source!BI261=4,G282, 0)</f>
        <v>0</v>
      </c>
    </row>
    <row r="283" spans="1:28" ht="42.75" x14ac:dyDescent="0.2">
      <c r="A283" s="16" t="str">
        <f>Source!E263</f>
        <v>32</v>
      </c>
      <c r="B283" s="17" t="str">
        <f>Source!F263</f>
        <v>103-1485</v>
      </c>
      <c r="C283" s="17" t="str">
        <f>Source!G263</f>
        <v>Трубы стальные квадратные (ГОСТ 8639-82) размером 40х40 мм, толщина стенки 3 мм</v>
      </c>
      <c r="D283" s="71" t="str">
        <f>Source!H263</f>
        <v>м</v>
      </c>
      <c r="E283" s="72">
        <f>Source!I263</f>
        <v>14.7</v>
      </c>
      <c r="F283" s="73">
        <f>IF(Source!AK263&lt;&gt; 0, Source!AK263,Source!AL263 + Source!AM263 + Source!AO263)</f>
        <v>28.37</v>
      </c>
      <c r="G283" s="74"/>
      <c r="H283" s="73"/>
      <c r="I283" s="74" t="str">
        <f>Source!BO263</f>
        <v>103-1485</v>
      </c>
      <c r="J283" s="74"/>
      <c r="K283" s="73"/>
      <c r="L283" s="75"/>
      <c r="S283" s="52">
        <f>ROUND((Source!FX263/100)*((ROUND(Source!AF263*Source!I263, 2)+ROUND(Source!AE263*Source!I263, 2))), 2)</f>
        <v>0</v>
      </c>
      <c r="T283" s="52">
        <f>Source!X263</f>
        <v>0</v>
      </c>
      <c r="U283" s="52">
        <f>ROUND((Source!FY263/100)*((ROUND(Source!AF263*Source!I263, 2)+ROUND(Source!AE263*Source!I263, 2))), 2)</f>
        <v>0</v>
      </c>
      <c r="V283" s="52">
        <f>Source!Y263</f>
        <v>0</v>
      </c>
    </row>
    <row r="284" spans="1:28" ht="14.25" x14ac:dyDescent="0.2">
      <c r="A284" s="20"/>
      <c r="B284" s="21"/>
      <c r="C284" s="21" t="s">
        <v>1213</v>
      </c>
      <c r="D284" s="78"/>
      <c r="E284" s="79"/>
      <c r="F284" s="80">
        <f>Source!AL263</f>
        <v>28.37</v>
      </c>
      <c r="G284" s="81" t="str">
        <f>Source!DD263</f>
        <v/>
      </c>
      <c r="H284" s="80">
        <f>ROUND(Source!AC263*Source!I263, 2)</f>
        <v>417.04</v>
      </c>
      <c r="I284" s="81"/>
      <c r="J284" s="81">
        <f>IF(Source!BC263&lt;&gt; 0, Source!BC263, 1)</f>
        <v>9.68</v>
      </c>
      <c r="K284" s="80">
        <f>Source!P263</f>
        <v>4036.94</v>
      </c>
      <c r="L284" s="100"/>
    </row>
    <row r="285" spans="1:28" ht="15" x14ac:dyDescent="0.2">
      <c r="G285" s="83">
        <f>ROUND(Source!AC263*Source!I263, 2)+ROUND(Source!AF263*Source!I263, 2)+ROUND((((Source!ET263)-(Source!EU263))+Source!AE263)*Source!I263, 2)</f>
        <v>417.04</v>
      </c>
      <c r="H285" s="83"/>
      <c r="J285" s="83">
        <f>Source!O263</f>
        <v>4036.94</v>
      </c>
      <c r="K285" s="83"/>
      <c r="L285" s="84">
        <f>Source!U263</f>
        <v>0</v>
      </c>
      <c r="O285" s="85">
        <f>G285</f>
        <v>417.04</v>
      </c>
      <c r="P285" s="85">
        <f>J285</f>
        <v>4036.94</v>
      </c>
      <c r="Q285" s="85">
        <f>L285</f>
        <v>0</v>
      </c>
      <c r="W285" s="52">
        <f>IF(Source!BI263&lt;=1,G285, 0)</f>
        <v>417.04</v>
      </c>
      <c r="X285" s="52">
        <f>IF(Source!BI263=2,G285, 0)</f>
        <v>0</v>
      </c>
      <c r="Y285" s="52">
        <f>IF(Source!BI263=3,G285, 0)</f>
        <v>0</v>
      </c>
      <c r="Z285" s="52">
        <f>IF(Source!BI263=4,G285, 0)</f>
        <v>0</v>
      </c>
    </row>
    <row r="286" spans="1:28" ht="42.75" x14ac:dyDescent="0.2">
      <c r="A286" s="16" t="str">
        <f>Source!E264</f>
        <v>33</v>
      </c>
      <c r="B286" s="17" t="str">
        <f>Source!F264</f>
        <v>09-04-006-2</v>
      </c>
      <c r="C286" s="17" t="str">
        <f>Source!G264</f>
        <v>Монтаж ограждающих конструкций стен из профилированного листа при высоте здания до 30 м</v>
      </c>
      <c r="D286" s="71" t="str">
        <f>Source!H264</f>
        <v>100 м2</v>
      </c>
      <c r="E286" s="72">
        <f>Source!I264</f>
        <v>0.13500000000000001</v>
      </c>
      <c r="F286" s="73">
        <f>IF(Source!AK264&lt;&gt; 0, Source!AK264,Source!AL264 + Source!AM264 + Source!AO264)</f>
        <v>3888.79</v>
      </c>
      <c r="G286" s="74"/>
      <c r="H286" s="73"/>
      <c r="I286" s="74" t="str">
        <f>Source!BO264</f>
        <v>09-04-006-2</v>
      </c>
      <c r="J286" s="74"/>
      <c r="K286" s="73"/>
      <c r="L286" s="75"/>
      <c r="S286" s="52">
        <f>ROUND((Source!FX264/100)*((ROUND(Source!AF264*Source!I264, 2)+ROUND(Source!AE264*Source!I264, 2))), 2)</f>
        <v>137.18</v>
      </c>
      <c r="T286" s="52">
        <f>Source!X264</f>
        <v>4838.59</v>
      </c>
      <c r="U286" s="52">
        <f>ROUND((Source!FY264/100)*((ROUND(Source!AF264*Source!I264, 2)+ROUND(Source!AE264*Source!I264, 2))), 2)</f>
        <v>91.46</v>
      </c>
      <c r="V286" s="52">
        <f>Source!Y264</f>
        <v>3225.73</v>
      </c>
    </row>
    <row r="287" spans="1:28" x14ac:dyDescent="0.2">
      <c r="C287" s="18" t="str">
        <f>"Объем: "&amp;Source!I264&amp;"=13,5/"&amp;"100"</f>
        <v>Объем: 0,135=13,5/100</v>
      </c>
    </row>
    <row r="288" spans="1:28" ht="14.25" x14ac:dyDescent="0.2">
      <c r="A288" s="16"/>
      <c r="B288" s="17"/>
      <c r="C288" s="17" t="s">
        <v>1206</v>
      </c>
      <c r="D288" s="71"/>
      <c r="E288" s="72"/>
      <c r="F288" s="73">
        <f>Source!AO264</f>
        <v>892.77</v>
      </c>
      <c r="G288" s="74" t="str">
        <f>Source!DG264</f>
        <v/>
      </c>
      <c r="H288" s="73">
        <f>ROUND(Source!AF264*Source!I264, 2)</f>
        <v>120.52</v>
      </c>
      <c r="I288" s="74"/>
      <c r="J288" s="74">
        <f>IF(Source!BA264&lt;&gt; 0, Source!BA264, 1)</f>
        <v>35.270000000000003</v>
      </c>
      <c r="K288" s="73">
        <f>Source!S264</f>
        <v>4250.88</v>
      </c>
      <c r="L288" s="75"/>
      <c r="R288" s="52">
        <f>H288</f>
        <v>120.52</v>
      </c>
    </row>
    <row r="289" spans="1:28" ht="14.25" x14ac:dyDescent="0.2">
      <c r="A289" s="16"/>
      <c r="B289" s="17"/>
      <c r="C289" s="17" t="s">
        <v>103</v>
      </c>
      <c r="D289" s="71"/>
      <c r="E289" s="72"/>
      <c r="F289" s="73">
        <f>Source!AM264</f>
        <v>2695.83</v>
      </c>
      <c r="G289" s="74" t="str">
        <f>Source!DE264</f>
        <v/>
      </c>
      <c r="H289" s="73">
        <f>ROUND((((Source!ET264)-(Source!EU264))+Source!AE264)*Source!I264, 2)</f>
        <v>363.94</v>
      </c>
      <c r="I289" s="74"/>
      <c r="J289" s="74">
        <f>IF(Source!BB264&lt;&gt; 0, Source!BB264, 1)</f>
        <v>11.48</v>
      </c>
      <c r="K289" s="73">
        <f>Source!Q264</f>
        <v>4178</v>
      </c>
      <c r="L289" s="75"/>
    </row>
    <row r="290" spans="1:28" ht="14.25" x14ac:dyDescent="0.2">
      <c r="A290" s="16"/>
      <c r="B290" s="17"/>
      <c r="C290" s="17" t="s">
        <v>1212</v>
      </c>
      <c r="D290" s="71"/>
      <c r="E290" s="72"/>
      <c r="F290" s="73">
        <f>Source!AN264</f>
        <v>199.92</v>
      </c>
      <c r="G290" s="74" t="str">
        <f>Source!DF264</f>
        <v/>
      </c>
      <c r="H290" s="73">
        <f>ROUND(Source!AE264*Source!I264, 2)</f>
        <v>26.99</v>
      </c>
      <c r="I290" s="74"/>
      <c r="J290" s="74">
        <f>IF(Source!BS264&lt;&gt; 0, Source!BS264, 1)</f>
        <v>35.270000000000003</v>
      </c>
      <c r="K290" s="73">
        <f>Source!R264</f>
        <v>951.91</v>
      </c>
      <c r="L290" s="75"/>
      <c r="R290" s="52">
        <f>H290</f>
        <v>26.99</v>
      </c>
    </row>
    <row r="291" spans="1:28" ht="14.25" x14ac:dyDescent="0.2">
      <c r="A291" s="16"/>
      <c r="B291" s="17"/>
      <c r="C291" s="17" t="s">
        <v>1213</v>
      </c>
      <c r="D291" s="71"/>
      <c r="E291" s="72"/>
      <c r="F291" s="73">
        <f>Source!AL264</f>
        <v>300.19</v>
      </c>
      <c r="G291" s="74" t="str">
        <f>Source!DD264</f>
        <v/>
      </c>
      <c r="H291" s="73">
        <f>ROUND(Source!AC264*Source!I264, 2)</f>
        <v>40.53</v>
      </c>
      <c r="I291" s="74"/>
      <c r="J291" s="74">
        <f>IF(Source!BC264&lt;&gt; 0, Source!BC264, 1)</f>
        <v>16.2</v>
      </c>
      <c r="K291" s="73">
        <f>Source!P264</f>
        <v>656.52</v>
      </c>
      <c r="L291" s="75"/>
    </row>
    <row r="292" spans="1:28" ht="14.25" x14ac:dyDescent="0.2">
      <c r="A292" s="16"/>
      <c r="B292" s="17"/>
      <c r="C292" s="17" t="s">
        <v>1207</v>
      </c>
      <c r="D292" s="71" t="s">
        <v>1208</v>
      </c>
      <c r="E292" s="72">
        <f>Source!BZ264</f>
        <v>93</v>
      </c>
      <c r="F292" s="76"/>
      <c r="G292" s="74"/>
      <c r="H292" s="73">
        <f>SUM(S286:S295)</f>
        <v>137.18</v>
      </c>
      <c r="I292" s="77"/>
      <c r="J292" s="17">
        <f>Source!AT264</f>
        <v>93</v>
      </c>
      <c r="K292" s="73">
        <f>SUM(T286:T295)</f>
        <v>4838.59</v>
      </c>
      <c r="L292" s="75"/>
    </row>
    <row r="293" spans="1:28" ht="14.25" x14ac:dyDescent="0.2">
      <c r="A293" s="16"/>
      <c r="B293" s="17"/>
      <c r="C293" s="17" t="s">
        <v>1209</v>
      </c>
      <c r="D293" s="71" t="s">
        <v>1208</v>
      </c>
      <c r="E293" s="72">
        <f>Source!CA264</f>
        <v>62</v>
      </c>
      <c r="F293" s="76"/>
      <c r="G293" s="74"/>
      <c r="H293" s="73">
        <f>SUM(U286:U295)</f>
        <v>91.46</v>
      </c>
      <c r="I293" s="77"/>
      <c r="J293" s="17">
        <f>Source!AU264</f>
        <v>62</v>
      </c>
      <c r="K293" s="73">
        <f>SUM(V286:V295)</f>
        <v>3225.73</v>
      </c>
      <c r="L293" s="75"/>
    </row>
    <row r="294" spans="1:28" ht="14.25" x14ac:dyDescent="0.2">
      <c r="A294" s="16"/>
      <c r="B294" s="17"/>
      <c r="C294" s="17" t="s">
        <v>1210</v>
      </c>
      <c r="D294" s="71" t="s">
        <v>1211</v>
      </c>
      <c r="E294" s="72">
        <f>Source!AQ264</f>
        <v>105.28</v>
      </c>
      <c r="F294" s="73"/>
      <c r="G294" s="74" t="str">
        <f>Source!DI264</f>
        <v/>
      </c>
      <c r="H294" s="73"/>
      <c r="I294" s="74"/>
      <c r="J294" s="74"/>
      <c r="K294" s="73"/>
      <c r="L294" s="89">
        <f>Source!U264</f>
        <v>14.212800000000001</v>
      </c>
    </row>
    <row r="295" spans="1:28" ht="28.5" x14ac:dyDescent="0.2">
      <c r="A295" s="90" t="str">
        <f>Source!E267</f>
        <v>33,3</v>
      </c>
      <c r="B295" s="90" t="str">
        <f>Source!F267</f>
        <v>201-9360</v>
      </c>
      <c r="C295" s="90" t="str">
        <f>Source!G267</f>
        <v>Конструкции стальные нащельников и деталей обрамления</v>
      </c>
      <c r="D295" s="91" t="str">
        <f>Source!H267</f>
        <v>т</v>
      </c>
      <c r="E295" s="92">
        <f>Source!I267</f>
        <v>7.803E-3</v>
      </c>
      <c r="F295" s="93">
        <f>Source!AK267</f>
        <v>0</v>
      </c>
      <c r="G295" s="94" t="s">
        <v>3</v>
      </c>
      <c r="H295" s="93">
        <f>ROUND(Source!AC267*Source!I267, 2)+ROUND((((Source!ET267)-(Source!EU267))+Source!AE267)*Source!I267, 2)+ROUND(Source!AF267*Source!I267, 2)</f>
        <v>0</v>
      </c>
      <c r="I295" s="91"/>
      <c r="J295" s="91">
        <f>IF(Source!BC267&lt;&gt; 0, Source!BC267, 1)</f>
        <v>1</v>
      </c>
      <c r="K295" s="93">
        <f>Source!O267</f>
        <v>0</v>
      </c>
      <c r="L295" s="93"/>
      <c r="S295" s="52">
        <f>ROUND((Source!FX267/100)*((ROUND(Source!AF267*Source!I267, 2)+ROUND(Source!AE267*Source!I267, 2))), 2)</f>
        <v>0</v>
      </c>
      <c r="T295" s="52">
        <f>Source!X267</f>
        <v>0</v>
      </c>
      <c r="U295" s="52">
        <f>ROUND((Source!FY267/100)*((ROUND(Source!AF267*Source!I267, 2)+ROUND(Source!AE267*Source!I267, 2))), 2)</f>
        <v>0</v>
      </c>
      <c r="V295" s="52">
        <f>Source!Y267</f>
        <v>0</v>
      </c>
      <c r="Y295" s="52">
        <f>IF(Source!BI267=3,H295, 0)</f>
        <v>0</v>
      </c>
      <c r="AA295" s="52">
        <f>ROUND(Source!AC267*Source!I267, 2)+ROUND((((Source!ET267)-(Source!EU267))+Source!AE267)*Source!I267, 2)+ROUND(Source!AF267*Source!I267, 2)</f>
        <v>0</v>
      </c>
      <c r="AB295" s="52">
        <f>Source!O267</f>
        <v>0</v>
      </c>
    </row>
    <row r="296" spans="1:28" ht="15" x14ac:dyDescent="0.2">
      <c r="G296" s="83">
        <f>ROUND(Source!AC264*Source!I264, 2)+ROUND(Source!AF264*Source!I264, 2)+ROUND((((Source!ET264)-(Source!EU264))+Source!AE264)*Source!I264, 2)+SUM(H292:H293)+SUM(AA295:AA295)</f>
        <v>753.63</v>
      </c>
      <c r="H296" s="83"/>
      <c r="J296" s="83">
        <f>Source!O264+SUM(K292:K293)+SUM(AB295:AB295)</f>
        <v>17149.72</v>
      </c>
      <c r="K296" s="83"/>
      <c r="L296" s="84">
        <f>Source!U264</f>
        <v>14.212800000000001</v>
      </c>
      <c r="O296" s="85">
        <f>G296</f>
        <v>753.63</v>
      </c>
      <c r="P296" s="85">
        <f>J296</f>
        <v>17149.72</v>
      </c>
      <c r="Q296" s="85">
        <f>L296</f>
        <v>14.212800000000001</v>
      </c>
      <c r="W296" s="52">
        <f>IF(Source!BI264&lt;=1,G296, 0)</f>
        <v>753.63</v>
      </c>
      <c r="X296" s="52">
        <f>IF(Source!BI264=2,G296, 0)</f>
        <v>0</v>
      </c>
      <c r="Y296" s="52">
        <f>IF(Source!BI264=3,G296, 0)</f>
        <v>0</v>
      </c>
      <c r="Z296" s="52">
        <f>IF(Source!BI264=4,G296, 0)</f>
        <v>0</v>
      </c>
    </row>
    <row r="297" spans="1:28" ht="28.5" x14ac:dyDescent="0.2">
      <c r="A297" s="16" t="str">
        <f>Source!E268</f>
        <v>34</v>
      </c>
      <c r="B297" s="17" t="str">
        <f>Source!F268</f>
        <v>101-4564</v>
      </c>
      <c r="C297" s="17" t="str">
        <f>Source!G268</f>
        <v>Профнастил оцинкованный с покрытием полиэстер C10-1100-0,5</v>
      </c>
      <c r="D297" s="71" t="str">
        <f>Source!H268</f>
        <v>м2</v>
      </c>
      <c r="E297" s="72">
        <f>Source!I268</f>
        <v>14.85</v>
      </c>
      <c r="F297" s="73">
        <f>IF(Source!AK268&lt;&gt; 0, Source!AK268,Source!AL268 + Source!AM268 + Source!AO268)</f>
        <v>58.92</v>
      </c>
      <c r="G297" s="74"/>
      <c r="H297" s="73"/>
      <c r="I297" s="74" t="str">
        <f>Source!BO268</f>
        <v>101-4564</v>
      </c>
      <c r="J297" s="74"/>
      <c r="K297" s="73"/>
      <c r="L297" s="75"/>
      <c r="S297" s="52">
        <f>ROUND((Source!FX268/100)*((ROUND(Source!AF268*Source!I268, 2)+ROUND(Source!AE268*Source!I268, 2))), 2)</f>
        <v>0</v>
      </c>
      <c r="T297" s="52">
        <f>Source!X268</f>
        <v>0</v>
      </c>
      <c r="U297" s="52">
        <f>ROUND((Source!FY268/100)*((ROUND(Source!AF268*Source!I268, 2)+ROUND(Source!AE268*Source!I268, 2))), 2)</f>
        <v>0</v>
      </c>
      <c r="V297" s="52">
        <f>Source!Y268</f>
        <v>0</v>
      </c>
    </row>
    <row r="298" spans="1:28" ht="14.25" x14ac:dyDescent="0.2">
      <c r="A298" s="20"/>
      <c r="B298" s="21"/>
      <c r="C298" s="21" t="s">
        <v>1213</v>
      </c>
      <c r="D298" s="78"/>
      <c r="E298" s="79"/>
      <c r="F298" s="80">
        <f>Source!AL268</f>
        <v>58.92</v>
      </c>
      <c r="G298" s="81" t="str">
        <f>Source!DD268</f>
        <v/>
      </c>
      <c r="H298" s="80">
        <f>ROUND(Source!AC268*Source!I268, 2)</f>
        <v>874.96</v>
      </c>
      <c r="I298" s="81"/>
      <c r="J298" s="81">
        <f>IF(Source!BC268&lt;&gt; 0, Source!BC268, 1)</f>
        <v>10.01</v>
      </c>
      <c r="K298" s="80">
        <f>Source!P268</f>
        <v>8758.3700000000008</v>
      </c>
      <c r="L298" s="100"/>
    </row>
    <row r="299" spans="1:28" ht="15" x14ac:dyDescent="0.2">
      <c r="G299" s="83">
        <f>ROUND(Source!AC268*Source!I268, 2)+ROUND(Source!AF268*Source!I268, 2)+ROUND((((Source!ET268)-(Source!EU268))+Source!AE268)*Source!I268, 2)</f>
        <v>874.96</v>
      </c>
      <c r="H299" s="83"/>
      <c r="J299" s="83">
        <f>Source!O268</f>
        <v>8758.3700000000008</v>
      </c>
      <c r="K299" s="83"/>
      <c r="L299" s="84">
        <f>Source!U268</f>
        <v>0</v>
      </c>
      <c r="O299" s="85">
        <f>G299</f>
        <v>874.96</v>
      </c>
      <c r="P299" s="85">
        <f>J299</f>
        <v>8758.3700000000008</v>
      </c>
      <c r="Q299" s="85">
        <f>L299</f>
        <v>0</v>
      </c>
      <c r="W299" s="52">
        <f>IF(Source!BI268&lt;=1,G299, 0)</f>
        <v>874.96</v>
      </c>
      <c r="X299" s="52">
        <f>IF(Source!BI268=2,G299, 0)</f>
        <v>0</v>
      </c>
      <c r="Y299" s="52">
        <f>IF(Source!BI268=3,G299, 0)</f>
        <v>0</v>
      </c>
      <c r="Z299" s="52">
        <f>IF(Source!BI268=4,G299, 0)</f>
        <v>0</v>
      </c>
    </row>
    <row r="300" spans="1:28" ht="42.75" x14ac:dyDescent="0.2">
      <c r="A300" s="16" t="str">
        <f>Source!E269</f>
        <v>35</v>
      </c>
      <c r="B300" s="17" t="str">
        <f>Source!F269</f>
        <v>101-1810</v>
      </c>
      <c r="C300" s="17" t="str">
        <f>Source!G269</f>
        <v>Винты самонарезающие для крепления профилированного настила и панелей к несущим конструкциям</v>
      </c>
      <c r="D300" s="71" t="str">
        <f>Source!H269</f>
        <v>т</v>
      </c>
      <c r="E300" s="72">
        <f>Source!I269</f>
        <v>4.0000000000000001E-3</v>
      </c>
      <c r="F300" s="73">
        <f>IF(Source!AK269&lt;&gt; 0, Source!AK269,Source!AL269 + Source!AM269 + Source!AO269)</f>
        <v>35011</v>
      </c>
      <c r="G300" s="74"/>
      <c r="H300" s="73"/>
      <c r="I300" s="74" t="str">
        <f>Source!BO269</f>
        <v>101-1810</v>
      </c>
      <c r="J300" s="74"/>
      <c r="K300" s="73"/>
      <c r="L300" s="75"/>
      <c r="S300" s="52">
        <f>ROUND((Source!FX269/100)*((ROUND(Source!AF269*Source!I269, 2)+ROUND(Source!AE269*Source!I269, 2))), 2)</f>
        <v>0</v>
      </c>
      <c r="T300" s="52">
        <f>Source!X269</f>
        <v>0</v>
      </c>
      <c r="U300" s="52">
        <f>ROUND((Source!FY269/100)*((ROUND(Source!AF269*Source!I269, 2)+ROUND(Source!AE269*Source!I269, 2))), 2)</f>
        <v>0</v>
      </c>
      <c r="V300" s="52">
        <f>Source!Y269</f>
        <v>0</v>
      </c>
    </row>
    <row r="301" spans="1:28" ht="14.25" x14ac:dyDescent="0.2">
      <c r="A301" s="20"/>
      <c r="B301" s="21"/>
      <c r="C301" s="21" t="s">
        <v>1213</v>
      </c>
      <c r="D301" s="78"/>
      <c r="E301" s="79"/>
      <c r="F301" s="80">
        <f>Source!AL269</f>
        <v>35011</v>
      </c>
      <c r="G301" s="81" t="str">
        <f>Source!DD269</f>
        <v/>
      </c>
      <c r="H301" s="80">
        <f>ROUND(Source!AC269*Source!I269, 2)</f>
        <v>140.04</v>
      </c>
      <c r="I301" s="81"/>
      <c r="J301" s="81">
        <f>IF(Source!BC269&lt;&gt; 0, Source!BC269, 1)</f>
        <v>10.72</v>
      </c>
      <c r="K301" s="80">
        <f>Source!P269</f>
        <v>1501.27</v>
      </c>
      <c r="L301" s="100"/>
    </row>
    <row r="302" spans="1:28" ht="15" x14ac:dyDescent="0.2">
      <c r="G302" s="83">
        <f>ROUND(Source!AC269*Source!I269, 2)+ROUND(Source!AF269*Source!I269, 2)+ROUND((((Source!ET269)-(Source!EU269))+Source!AE269)*Source!I269, 2)</f>
        <v>140.04</v>
      </c>
      <c r="H302" s="83"/>
      <c r="J302" s="83">
        <f>Source!O269</f>
        <v>1501.27</v>
      </c>
      <c r="K302" s="83"/>
      <c r="L302" s="84">
        <f>Source!U269</f>
        <v>0</v>
      </c>
      <c r="O302" s="85">
        <f>G302</f>
        <v>140.04</v>
      </c>
      <c r="P302" s="85">
        <f>J302</f>
        <v>1501.27</v>
      </c>
      <c r="Q302" s="85">
        <f>L302</f>
        <v>0</v>
      </c>
      <c r="W302" s="52">
        <f>IF(Source!BI269&lt;=1,G302, 0)</f>
        <v>140.04</v>
      </c>
      <c r="X302" s="52">
        <f>IF(Source!BI269=2,G302, 0)</f>
        <v>0</v>
      </c>
      <c r="Y302" s="52">
        <f>IF(Source!BI269=3,G302, 0)</f>
        <v>0</v>
      </c>
      <c r="Z302" s="52">
        <f>IF(Source!BI269=4,G302, 0)</f>
        <v>0</v>
      </c>
    </row>
    <row r="303" spans="1:28" ht="28.5" x14ac:dyDescent="0.2">
      <c r="A303" s="16" t="str">
        <f>Source!E271</f>
        <v>36</v>
      </c>
      <c r="B303" s="17" t="str">
        <f>Source!F271</f>
        <v>301-7567</v>
      </c>
      <c r="C303" s="17" t="str">
        <f>Source!G271</f>
        <v>Контейнер мусоросборный К-1 для мусоропровода</v>
      </c>
      <c r="D303" s="71" t="str">
        <f>Source!H271</f>
        <v>шт.</v>
      </c>
      <c r="E303" s="72">
        <f>Source!I271</f>
        <v>3</v>
      </c>
      <c r="F303" s="73">
        <f>IF(Source!AK271&lt;&gt; 0, Source!AK271,Source!AL271 + Source!AM271 + Source!AO271)</f>
        <v>2825.71</v>
      </c>
      <c r="G303" s="74"/>
      <c r="H303" s="73"/>
      <c r="I303" s="74" t="str">
        <f>Source!BO271</f>
        <v>301-7567</v>
      </c>
      <c r="J303" s="74"/>
      <c r="K303" s="73"/>
      <c r="L303" s="75"/>
      <c r="S303" s="52">
        <f>ROUND((Source!FX271/100)*((ROUND(Source!AF271*Source!I271, 2)+ROUND(Source!AE271*Source!I271, 2))), 2)</f>
        <v>0</v>
      </c>
      <c r="T303" s="52">
        <f>Source!X271</f>
        <v>0</v>
      </c>
      <c r="U303" s="52">
        <f>ROUND((Source!FY271/100)*((ROUND(Source!AF271*Source!I271, 2)+ROUND(Source!AE271*Source!I271, 2))), 2)</f>
        <v>0</v>
      </c>
      <c r="V303" s="52">
        <f>Source!Y271</f>
        <v>0</v>
      </c>
    </row>
    <row r="304" spans="1:28" ht="14.25" x14ac:dyDescent="0.2">
      <c r="A304" s="20"/>
      <c r="B304" s="21"/>
      <c r="C304" s="21" t="s">
        <v>1213</v>
      </c>
      <c r="D304" s="78"/>
      <c r="E304" s="79"/>
      <c r="F304" s="80">
        <f>Source!AL271</f>
        <v>2825.71</v>
      </c>
      <c r="G304" s="81" t="str">
        <f>Source!DD271</f>
        <v/>
      </c>
      <c r="H304" s="80">
        <f>ROUND(Source!AC271*Source!I271, 2)</f>
        <v>8477.1299999999992</v>
      </c>
      <c r="I304" s="81"/>
      <c r="J304" s="81">
        <f>IF(Source!BC271&lt;&gt; 0, Source!BC271, 1)</f>
        <v>6</v>
      </c>
      <c r="K304" s="80">
        <f>Source!P271</f>
        <v>50862.78</v>
      </c>
      <c r="L304" s="100"/>
    </row>
    <row r="305" spans="1:33" ht="15" x14ac:dyDescent="0.2">
      <c r="G305" s="83">
        <f>ROUND(Source!AC271*Source!I271, 2)+ROUND(Source!AF271*Source!I271, 2)+ROUND((((Source!ET271)-(Source!EU271))+Source!AE271)*Source!I271, 2)</f>
        <v>8477.1299999999992</v>
      </c>
      <c r="H305" s="83"/>
      <c r="J305" s="83">
        <f>Source!O271</f>
        <v>50862.78</v>
      </c>
      <c r="K305" s="83"/>
      <c r="L305" s="84">
        <f>Source!U271</f>
        <v>0</v>
      </c>
      <c r="O305" s="85">
        <f>G305</f>
        <v>8477.1299999999992</v>
      </c>
      <c r="P305" s="85">
        <f>J305</f>
        <v>50862.78</v>
      </c>
      <c r="Q305" s="85">
        <f>L305</f>
        <v>0</v>
      </c>
      <c r="W305" s="52">
        <f>IF(Source!BI271&lt;=1,G305, 0)</f>
        <v>8477.1299999999992</v>
      </c>
      <c r="X305" s="52">
        <f>IF(Source!BI271=2,G305, 0)</f>
        <v>0</v>
      </c>
      <c r="Y305" s="52">
        <f>IF(Source!BI271=3,G305, 0)</f>
        <v>0</v>
      </c>
      <c r="Z305" s="52">
        <f>IF(Source!BI271=4,G305, 0)</f>
        <v>0</v>
      </c>
    </row>
    <row r="307" spans="1:33" ht="15" x14ac:dyDescent="0.2">
      <c r="A307" s="86" t="str">
        <f>CONCATENATE("Итого по разделу: ", Source!G273)</f>
        <v>Итого по разделу: Площадка под ТКО</v>
      </c>
      <c r="B307" s="86"/>
      <c r="C307" s="86"/>
      <c r="D307" s="86"/>
      <c r="E307" s="86"/>
      <c r="F307" s="86"/>
      <c r="G307" s="83">
        <f>SUM(O214:O306)</f>
        <v>13953.899999999998</v>
      </c>
      <c r="H307" s="64"/>
      <c r="I307" s="87"/>
      <c r="J307" s="83">
        <f>SUM(P214:P306)</f>
        <v>130529.48</v>
      </c>
      <c r="K307" s="64"/>
      <c r="L307" s="84">
        <f>SUM(Q214:Q306)</f>
        <v>30.111540000000002</v>
      </c>
      <c r="AG307" s="88" t="str">
        <f>CONCATENATE("Итого по разделу: ", Source!G273)</f>
        <v>Итого по разделу: Площадка под ТКО</v>
      </c>
    </row>
    <row r="309" spans="1:33" ht="14.25" x14ac:dyDescent="0.2">
      <c r="C309" s="17" t="str">
        <f>Source!H302</f>
        <v>ОЗП</v>
      </c>
      <c r="J309" s="65">
        <f>Source!F302</f>
        <v>8489.99</v>
      </c>
      <c r="K309" s="65"/>
    </row>
    <row r="310" spans="1:33" ht="14.25" x14ac:dyDescent="0.2">
      <c r="C310" s="17" t="str">
        <f>Source!H303</f>
        <v>ЭММ, в т.ч. ЗПМ</v>
      </c>
      <c r="J310" s="65">
        <f>Source!F303</f>
        <v>7442.92</v>
      </c>
      <c r="K310" s="65"/>
    </row>
    <row r="311" spans="1:33" ht="14.25" x14ac:dyDescent="0.2">
      <c r="C311" s="17" t="str">
        <f>Source!H304</f>
        <v>Стоимость материалов</v>
      </c>
      <c r="J311" s="65">
        <f>Source!F304</f>
        <v>98331.15</v>
      </c>
      <c r="K311" s="65"/>
    </row>
    <row r="312" spans="1:33" ht="14.25" x14ac:dyDescent="0.2">
      <c r="C312" s="17" t="str">
        <f>Source!H305</f>
        <v>НР</v>
      </c>
      <c r="J312" s="65">
        <f>Source!F305</f>
        <v>9943.0499999999993</v>
      </c>
      <c r="K312" s="65"/>
    </row>
    <row r="313" spans="1:33" ht="14.25" x14ac:dyDescent="0.2">
      <c r="C313" s="17" t="str">
        <f>Source!H306</f>
        <v>СП</v>
      </c>
      <c r="J313" s="65">
        <f>Source!F306</f>
        <v>6322.37</v>
      </c>
      <c r="K313" s="65"/>
    </row>
    <row r="314" spans="1:33" ht="14.25" x14ac:dyDescent="0.2">
      <c r="C314" s="17" t="str">
        <f>Source!H307</f>
        <v>Всего</v>
      </c>
      <c r="J314" s="65">
        <f>Source!F307</f>
        <v>130529.48</v>
      </c>
      <c r="K314" s="65"/>
    </row>
    <row r="315" spans="1:33" ht="14.25" x14ac:dyDescent="0.2">
      <c r="C315" s="17" t="str">
        <f>Source!H308</f>
        <v>НДС 20%</v>
      </c>
      <c r="J315" s="65">
        <f>Source!F308</f>
        <v>26105.9</v>
      </c>
      <c r="K315" s="65"/>
    </row>
    <row r="316" spans="1:33" ht="14.25" x14ac:dyDescent="0.2">
      <c r="C316" s="17" t="str">
        <f>Source!H309</f>
        <v>Итого с НДС</v>
      </c>
      <c r="J316" s="65">
        <f>Source!F309</f>
        <v>156635.38</v>
      </c>
      <c r="K316" s="65"/>
    </row>
    <row r="319" spans="1:33" ht="16.5" x14ac:dyDescent="0.2">
      <c r="A319" s="69" t="str">
        <f>CONCATENATE("Раздел: ", Source!G311)</f>
        <v>Раздел: Площадка для прощания</v>
      </c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AE319" s="70" t="str">
        <f>CONCATENATE("Раздел: ", Source!G311)</f>
        <v>Раздел: Площадка для прощания</v>
      </c>
    </row>
    <row r="320" spans="1:33" ht="99.75" x14ac:dyDescent="0.2">
      <c r="A320" s="16" t="str">
        <f>Source!E315</f>
        <v>37</v>
      </c>
      <c r="B320" s="17" t="str">
        <f>Source!F315</f>
        <v>06-01-001-1</v>
      </c>
      <c r="C320" s="17" t="str">
        <f>Source!G315</f>
        <v>Устройство бетонной подготовки</v>
      </c>
      <c r="D320" s="71" t="str">
        <f>Source!H315</f>
        <v>100 м3 бетона, бутобетона и железобетона в деле</v>
      </c>
      <c r="E320" s="72">
        <f>Source!I315</f>
        <v>3.5999999999999997E-2</v>
      </c>
      <c r="F320" s="73">
        <f>IF(Source!AK315&lt;&gt; 0, Source!AK315,Source!AL315 + Source!AM315 + Source!AO315)</f>
        <v>57993.120000000003</v>
      </c>
      <c r="G320" s="74"/>
      <c r="H320" s="73"/>
      <c r="I320" s="74" t="str">
        <f>Source!BO315</f>
        <v>06-01-001-1</v>
      </c>
      <c r="J320" s="74"/>
      <c r="K320" s="73"/>
      <c r="L320" s="75"/>
      <c r="S320" s="52">
        <f>ROUND((Source!FX315/100)*((ROUND(Source!AF315*Source!I315, 2)+ROUND(Source!AE315*Source!I315, 2))), 2)</f>
        <v>56.18</v>
      </c>
      <c r="T320" s="52">
        <f>Source!X315</f>
        <v>1981.53</v>
      </c>
      <c r="U320" s="52">
        <f>ROUND((Source!FY315/100)*((ROUND(Source!AF315*Source!I315, 2)+ROUND(Source!AE315*Source!I315, 2))), 2)</f>
        <v>31.95</v>
      </c>
      <c r="V320" s="52">
        <f>Source!Y315</f>
        <v>1126.75</v>
      </c>
    </row>
    <row r="321" spans="1:28" x14ac:dyDescent="0.2">
      <c r="C321" s="18" t="str">
        <f>"Объем: "&amp;Source!I315&amp;"=3,6/"&amp;"100"</f>
        <v>Объем: 0,036=3,6/100</v>
      </c>
    </row>
    <row r="322" spans="1:28" ht="14.25" x14ac:dyDescent="0.2">
      <c r="A322" s="16"/>
      <c r="B322" s="17"/>
      <c r="C322" s="17" t="s">
        <v>1206</v>
      </c>
      <c r="D322" s="71"/>
      <c r="E322" s="72"/>
      <c r="F322" s="73">
        <f>Source!AO315</f>
        <v>1312.2</v>
      </c>
      <c r="G322" s="74" t="str">
        <f>Source!DG315</f>
        <v/>
      </c>
      <c r="H322" s="73">
        <f>ROUND(Source!AF315*Source!I315, 2)</f>
        <v>47.24</v>
      </c>
      <c r="I322" s="74"/>
      <c r="J322" s="74">
        <f>IF(Source!BA315&lt;&gt; 0, Source!BA315, 1)</f>
        <v>35.270000000000003</v>
      </c>
      <c r="K322" s="73">
        <f>Source!S315</f>
        <v>1666.13</v>
      </c>
      <c r="L322" s="75"/>
      <c r="R322" s="52">
        <f>H322</f>
        <v>47.24</v>
      </c>
    </row>
    <row r="323" spans="1:28" ht="14.25" x14ac:dyDescent="0.2">
      <c r="A323" s="16"/>
      <c r="B323" s="17"/>
      <c r="C323" s="17" t="s">
        <v>103</v>
      </c>
      <c r="D323" s="71"/>
      <c r="E323" s="72"/>
      <c r="F323" s="73">
        <f>Source!AM315</f>
        <v>1906.43</v>
      </c>
      <c r="G323" s="74" t="str">
        <f>Source!DE315</f>
        <v/>
      </c>
      <c r="H323" s="73">
        <f>ROUND((((Source!ET315)-(Source!EU315))+Source!AE315)*Source!I315, 2)</f>
        <v>68.63</v>
      </c>
      <c r="I323" s="74"/>
      <c r="J323" s="74">
        <f>IF(Source!BB315&lt;&gt; 0, Source!BB315, 1)</f>
        <v>12.02</v>
      </c>
      <c r="K323" s="73">
        <f>Source!Q315</f>
        <v>824.95</v>
      </c>
      <c r="L323" s="75"/>
    </row>
    <row r="324" spans="1:28" ht="14.25" x14ac:dyDescent="0.2">
      <c r="A324" s="16"/>
      <c r="B324" s="17"/>
      <c r="C324" s="17" t="s">
        <v>1212</v>
      </c>
      <c r="D324" s="71"/>
      <c r="E324" s="72"/>
      <c r="F324" s="73">
        <f>Source!AN315</f>
        <v>217.8</v>
      </c>
      <c r="G324" s="74" t="str">
        <f>Source!DF315</f>
        <v/>
      </c>
      <c r="H324" s="73">
        <f>ROUND(Source!AE315*Source!I315, 2)</f>
        <v>7.84</v>
      </c>
      <c r="I324" s="74"/>
      <c r="J324" s="74">
        <f>IF(Source!BS315&lt;&gt; 0, Source!BS315, 1)</f>
        <v>35.270000000000003</v>
      </c>
      <c r="K324" s="73">
        <f>Source!R315</f>
        <v>276.55</v>
      </c>
      <c r="L324" s="75"/>
      <c r="R324" s="52">
        <f>H324</f>
        <v>7.84</v>
      </c>
    </row>
    <row r="325" spans="1:28" ht="14.25" x14ac:dyDescent="0.2">
      <c r="A325" s="16"/>
      <c r="B325" s="17"/>
      <c r="C325" s="17" t="s">
        <v>1213</v>
      </c>
      <c r="D325" s="71"/>
      <c r="E325" s="72"/>
      <c r="F325" s="73">
        <f>Source!AL315</f>
        <v>54774.49</v>
      </c>
      <c r="G325" s="74" t="str">
        <f>Source!DD315</f>
        <v/>
      </c>
      <c r="H325" s="73">
        <f>ROUND(Source!AC315*Source!I315, 2)</f>
        <v>1971.88</v>
      </c>
      <c r="I325" s="74"/>
      <c r="J325" s="74">
        <f>IF(Source!BC315&lt;&gt; 0, Source!BC315, 1)</f>
        <v>10.52</v>
      </c>
      <c r="K325" s="73">
        <f>Source!P315</f>
        <v>20744.189999999999</v>
      </c>
      <c r="L325" s="75"/>
    </row>
    <row r="326" spans="1:28" ht="14.25" x14ac:dyDescent="0.2">
      <c r="A326" s="16"/>
      <c r="B326" s="17"/>
      <c r="C326" s="17" t="s">
        <v>1207</v>
      </c>
      <c r="D326" s="71" t="s">
        <v>1208</v>
      </c>
      <c r="E326" s="72">
        <f>Source!BZ315</f>
        <v>102</v>
      </c>
      <c r="F326" s="76"/>
      <c r="G326" s="74"/>
      <c r="H326" s="73">
        <f>SUM(S320:S329)</f>
        <v>56.18</v>
      </c>
      <c r="I326" s="77"/>
      <c r="J326" s="17">
        <f>Source!AT315</f>
        <v>102</v>
      </c>
      <c r="K326" s="73">
        <f>SUM(T320:T329)</f>
        <v>1981.53</v>
      </c>
      <c r="L326" s="75"/>
    </row>
    <row r="327" spans="1:28" ht="14.25" x14ac:dyDescent="0.2">
      <c r="A327" s="16"/>
      <c r="B327" s="17"/>
      <c r="C327" s="17" t="s">
        <v>1209</v>
      </c>
      <c r="D327" s="71" t="s">
        <v>1208</v>
      </c>
      <c r="E327" s="72">
        <f>Source!CA315</f>
        <v>58</v>
      </c>
      <c r="F327" s="76"/>
      <c r="G327" s="74"/>
      <c r="H327" s="73">
        <f>SUM(U320:U329)</f>
        <v>31.95</v>
      </c>
      <c r="I327" s="77"/>
      <c r="J327" s="17">
        <f>Source!AU315</f>
        <v>58</v>
      </c>
      <c r="K327" s="73">
        <f>SUM(V320:V329)</f>
        <v>1126.75</v>
      </c>
      <c r="L327" s="75"/>
    </row>
    <row r="328" spans="1:28" ht="14.25" x14ac:dyDescent="0.2">
      <c r="A328" s="16"/>
      <c r="B328" s="17"/>
      <c r="C328" s="17" t="s">
        <v>1210</v>
      </c>
      <c r="D328" s="71" t="s">
        <v>1211</v>
      </c>
      <c r="E328" s="72">
        <f>Source!AQ315</f>
        <v>180</v>
      </c>
      <c r="F328" s="73"/>
      <c r="G328" s="74" t="str">
        <f>Source!DI315</f>
        <v/>
      </c>
      <c r="H328" s="73"/>
      <c r="I328" s="74"/>
      <c r="J328" s="74"/>
      <c r="K328" s="73"/>
      <c r="L328" s="89">
        <f>Source!U315</f>
        <v>6.4799999999999995</v>
      </c>
    </row>
    <row r="329" spans="1:28" ht="28.5" x14ac:dyDescent="0.2">
      <c r="A329" s="90" t="str">
        <f>Source!E316</f>
        <v>37,1</v>
      </c>
      <c r="B329" s="90" t="str">
        <f>Source!F316</f>
        <v>401-0061</v>
      </c>
      <c r="C329" s="90" t="str">
        <f>Source!G316</f>
        <v>Бетон тяжелый, крупность заполнителя 20 мм, класс В3,5 (М50)</v>
      </c>
      <c r="D329" s="91" t="str">
        <f>Source!H316</f>
        <v>м3</v>
      </c>
      <c r="E329" s="92">
        <f>Source!I316</f>
        <v>-3.6719999999999997</v>
      </c>
      <c r="F329" s="93">
        <f>Source!AK316</f>
        <v>512</v>
      </c>
      <c r="G329" s="94" t="s">
        <v>3</v>
      </c>
      <c r="H329" s="93">
        <f>ROUND(Source!AC316*Source!I316, 2)+ROUND((((Source!ET316)-(Source!EU316))+Source!AE316)*Source!I316, 2)+ROUND(Source!AF316*Source!I316, 2)</f>
        <v>-1880.06</v>
      </c>
      <c r="I329" s="91"/>
      <c r="J329" s="91">
        <f>IF(Source!BC316&lt;&gt; 0, Source!BC316, 1)</f>
        <v>10.78</v>
      </c>
      <c r="K329" s="93">
        <f>Source!O316</f>
        <v>-20267.09</v>
      </c>
      <c r="L329" s="93"/>
      <c r="S329" s="52">
        <f>ROUND((Source!FX316/100)*((ROUND(Source!AF316*Source!I316, 2)+ROUND(Source!AE316*Source!I316, 2))), 2)</f>
        <v>0</v>
      </c>
      <c r="T329" s="52">
        <f>Source!X316</f>
        <v>0</v>
      </c>
      <c r="U329" s="52">
        <f>ROUND((Source!FY316/100)*((ROUND(Source!AF316*Source!I316, 2)+ROUND(Source!AE316*Source!I316, 2))), 2)</f>
        <v>0</v>
      </c>
      <c r="V329" s="52">
        <f>Source!Y316</f>
        <v>0</v>
      </c>
      <c r="Y329" s="52">
        <f>IF(Source!BI316=3,H329, 0)</f>
        <v>0</v>
      </c>
      <c r="AA329" s="52">
        <f>ROUND(Source!AC316*Source!I316, 2)+ROUND((((Source!ET316)-(Source!EU316))+Source!AE316)*Source!I316, 2)+ROUND(Source!AF316*Source!I316, 2)</f>
        <v>-1880.06</v>
      </c>
      <c r="AB329" s="52">
        <f>Source!O316</f>
        <v>-20267.09</v>
      </c>
    </row>
    <row r="330" spans="1:28" ht="15" x14ac:dyDescent="0.2">
      <c r="G330" s="83">
        <f>ROUND(Source!AC315*Source!I315, 2)+ROUND(Source!AF315*Source!I315, 2)+ROUND((((Source!ET315)-(Source!EU315))+Source!AE315)*Source!I315, 2)+SUM(H326:H327)+SUM(AA329:AA329)</f>
        <v>295.82000000000016</v>
      </c>
      <c r="H330" s="83"/>
      <c r="J330" s="83">
        <f>Source!O315+SUM(K326:K327)+SUM(AB329:AB329)</f>
        <v>6076.4599999999991</v>
      </c>
      <c r="K330" s="83"/>
      <c r="L330" s="84">
        <f>Source!U315</f>
        <v>6.4799999999999995</v>
      </c>
      <c r="O330" s="85">
        <f>G330</f>
        <v>295.82000000000016</v>
      </c>
      <c r="P330" s="85">
        <f>J330</f>
        <v>6076.4599999999991</v>
      </c>
      <c r="Q330" s="85">
        <f>L330</f>
        <v>6.4799999999999995</v>
      </c>
      <c r="W330" s="52">
        <f>IF(Source!BI315&lt;=1,G330, 0)</f>
        <v>295.82000000000016</v>
      </c>
      <c r="X330" s="52">
        <f>IF(Source!BI315=2,G330, 0)</f>
        <v>0</v>
      </c>
      <c r="Y330" s="52">
        <f>IF(Source!BI315=3,G330, 0)</f>
        <v>0</v>
      </c>
      <c r="Z330" s="52">
        <f>IF(Source!BI315=4,G330, 0)</f>
        <v>0</v>
      </c>
    </row>
    <row r="331" spans="1:28" ht="28.5" x14ac:dyDescent="0.2">
      <c r="A331" s="16" t="str">
        <f>Source!E317</f>
        <v>38</v>
      </c>
      <c r="B331" s="17" t="str">
        <f>Source!F317</f>
        <v>401-0066</v>
      </c>
      <c r="C331" s="17" t="str">
        <f>Source!G317</f>
        <v>Бетон тяжелый, крупность заполнителя 20 мм, класс В15 (М200)</v>
      </c>
      <c r="D331" s="71" t="str">
        <f>Source!H317</f>
        <v>м3</v>
      </c>
      <c r="E331" s="72">
        <f>Source!I317</f>
        <v>3.6720000000000002</v>
      </c>
      <c r="F331" s="73">
        <f>IF(Source!AK317&lt;&gt; 0, Source!AK317,Source!AL317 + Source!AM317 + Source!AO317)</f>
        <v>633</v>
      </c>
      <c r="G331" s="74"/>
      <c r="H331" s="73"/>
      <c r="I331" s="74" t="str">
        <f>Source!BO317</f>
        <v>401-0066</v>
      </c>
      <c r="J331" s="74"/>
      <c r="K331" s="73"/>
      <c r="L331" s="75"/>
      <c r="S331" s="52">
        <f>ROUND((Source!FX317/100)*((ROUND(Source!AF317*Source!I317, 2)+ROUND(Source!AE317*Source!I317, 2))), 2)</f>
        <v>0</v>
      </c>
      <c r="T331" s="52">
        <f>Source!X317</f>
        <v>0</v>
      </c>
      <c r="U331" s="52">
        <f>ROUND((Source!FY317/100)*((ROUND(Source!AF317*Source!I317, 2)+ROUND(Source!AE317*Source!I317, 2))), 2)</f>
        <v>0</v>
      </c>
      <c r="V331" s="52">
        <f>Source!Y317</f>
        <v>0</v>
      </c>
    </row>
    <row r="332" spans="1:28" ht="14.25" x14ac:dyDescent="0.2">
      <c r="A332" s="20"/>
      <c r="B332" s="21"/>
      <c r="C332" s="21" t="s">
        <v>1213</v>
      </c>
      <c r="D332" s="78"/>
      <c r="E332" s="79"/>
      <c r="F332" s="80">
        <f>Source!AL317</f>
        <v>633</v>
      </c>
      <c r="G332" s="81" t="str">
        <f>Source!DD317</f>
        <v/>
      </c>
      <c r="H332" s="80">
        <f>ROUND(Source!AC317*Source!I317, 2)</f>
        <v>2324.38</v>
      </c>
      <c r="I332" s="81"/>
      <c r="J332" s="81">
        <f>IF(Source!BC317&lt;&gt; 0, Source!BC317, 1)</f>
        <v>11.16</v>
      </c>
      <c r="K332" s="80">
        <f>Source!P317</f>
        <v>25940.04</v>
      </c>
      <c r="L332" s="100"/>
    </row>
    <row r="333" spans="1:28" ht="15" x14ac:dyDescent="0.2">
      <c r="G333" s="83">
        <f>ROUND(Source!AC317*Source!I317, 2)+ROUND(Source!AF317*Source!I317, 2)+ROUND((((Source!ET317)-(Source!EU317))+Source!AE317)*Source!I317, 2)</f>
        <v>2324.38</v>
      </c>
      <c r="H333" s="83"/>
      <c r="J333" s="83">
        <f>Source!O317</f>
        <v>25940.04</v>
      </c>
      <c r="K333" s="83"/>
      <c r="L333" s="84">
        <f>Source!U317</f>
        <v>0</v>
      </c>
      <c r="O333" s="85">
        <f>G333</f>
        <v>2324.38</v>
      </c>
      <c r="P333" s="85">
        <f>J333</f>
        <v>25940.04</v>
      </c>
      <c r="Q333" s="85">
        <f>L333</f>
        <v>0</v>
      </c>
      <c r="W333" s="52">
        <f>IF(Source!BI317&lt;=1,G333, 0)</f>
        <v>2324.38</v>
      </c>
      <c r="X333" s="52">
        <f>IF(Source!BI317=2,G333, 0)</f>
        <v>0</v>
      </c>
      <c r="Y333" s="52">
        <f>IF(Source!BI317=3,G333, 0)</f>
        <v>0</v>
      </c>
      <c r="Z333" s="52">
        <f>IF(Source!BI317=4,G333, 0)</f>
        <v>0</v>
      </c>
    </row>
    <row r="334" spans="1:28" ht="99.75" x14ac:dyDescent="0.2">
      <c r="A334" s="16" t="str">
        <f>Source!E318</f>
        <v>39</v>
      </c>
      <c r="B334" s="17" t="str">
        <f>Source!F318</f>
        <v>06-01-001-5</v>
      </c>
      <c r="C334" s="17" t="str">
        <f>Source!G318</f>
        <v>Устройство железобетонных фундаментов общего назначения под колонны объемом до 3 м3</v>
      </c>
      <c r="D334" s="71" t="str">
        <f>Source!H318</f>
        <v>100 м3 бетона, бутобетона и железобетона в деле</v>
      </c>
      <c r="E334" s="72">
        <f>Source!I318</f>
        <v>4.7999999999999996E-3</v>
      </c>
      <c r="F334" s="73">
        <f>IF(Source!AK318&lt;&gt; 0, Source!AK318,Source!AL318 + Source!AM318 + Source!AO318)</f>
        <v>104805.74</v>
      </c>
      <c r="G334" s="74"/>
      <c r="H334" s="73"/>
      <c r="I334" s="74" t="str">
        <f>Source!BO318</f>
        <v>06-01-001-5</v>
      </c>
      <c r="J334" s="74"/>
      <c r="K334" s="73"/>
      <c r="L334" s="75"/>
      <c r="S334" s="52">
        <f>ROUND((Source!FX318/100)*((ROUND(Source!AF318*Source!I318, 2)+ROUND(Source!AE318*Source!I318, 2))), 2)</f>
        <v>32.51</v>
      </c>
      <c r="T334" s="52">
        <f>Source!X318</f>
        <v>1146.83</v>
      </c>
      <c r="U334" s="52">
        <f>ROUND((Source!FY318/100)*((ROUND(Source!AF318*Source!I318, 2)+ROUND(Source!AE318*Source!I318, 2))), 2)</f>
        <v>18.48</v>
      </c>
      <c r="V334" s="52">
        <f>Source!Y318</f>
        <v>652.12</v>
      </c>
    </row>
    <row r="335" spans="1:28" x14ac:dyDescent="0.2">
      <c r="C335" s="18" t="str">
        <f>"Объем: "&amp;Source!I318&amp;"=0,48/"&amp;"100"</f>
        <v>Объем: 0,0048=0,48/100</v>
      </c>
    </row>
    <row r="336" spans="1:28" ht="14.25" x14ac:dyDescent="0.2">
      <c r="A336" s="16"/>
      <c r="B336" s="17"/>
      <c r="C336" s="17" t="s">
        <v>1206</v>
      </c>
      <c r="D336" s="71"/>
      <c r="E336" s="72"/>
      <c r="F336" s="73">
        <f>Source!AO318</f>
        <v>6263.46</v>
      </c>
      <c r="G336" s="74" t="str">
        <f>Source!DG318</f>
        <v/>
      </c>
      <c r="H336" s="73">
        <f>ROUND(Source!AF318*Source!I318, 2)</f>
        <v>30.06</v>
      </c>
      <c r="I336" s="74"/>
      <c r="J336" s="74">
        <f>IF(Source!BA318&lt;&gt; 0, Source!BA318, 1)</f>
        <v>35.270000000000003</v>
      </c>
      <c r="K336" s="73">
        <f>Source!S318</f>
        <v>1060.3800000000001</v>
      </c>
      <c r="L336" s="75"/>
      <c r="R336" s="52">
        <f>H336</f>
        <v>30.06</v>
      </c>
    </row>
    <row r="337" spans="1:26" ht="14.25" x14ac:dyDescent="0.2">
      <c r="A337" s="16"/>
      <c r="B337" s="17"/>
      <c r="C337" s="17" t="s">
        <v>103</v>
      </c>
      <c r="D337" s="71"/>
      <c r="E337" s="72"/>
      <c r="F337" s="73">
        <f>Source!AM318</f>
        <v>3443.3</v>
      </c>
      <c r="G337" s="74" t="str">
        <f>Source!DE318</f>
        <v/>
      </c>
      <c r="H337" s="73">
        <f>ROUND((((Source!ET318)-(Source!EU318))+Source!AE318)*Source!I318, 2)</f>
        <v>16.53</v>
      </c>
      <c r="I337" s="74"/>
      <c r="J337" s="74">
        <f>IF(Source!BB318&lt;&gt; 0, Source!BB318, 1)</f>
        <v>12</v>
      </c>
      <c r="K337" s="73">
        <f>Source!Q318</f>
        <v>198.33</v>
      </c>
      <c r="L337" s="75"/>
    </row>
    <row r="338" spans="1:26" ht="14.25" x14ac:dyDescent="0.2">
      <c r="A338" s="16"/>
      <c r="B338" s="17"/>
      <c r="C338" s="17" t="s">
        <v>1212</v>
      </c>
      <c r="D338" s="71"/>
      <c r="E338" s="72"/>
      <c r="F338" s="73">
        <f>Source!AN318</f>
        <v>377.79</v>
      </c>
      <c r="G338" s="74" t="str">
        <f>Source!DF318</f>
        <v/>
      </c>
      <c r="H338" s="73">
        <f>ROUND(Source!AE318*Source!I318, 2)</f>
        <v>1.81</v>
      </c>
      <c r="I338" s="74"/>
      <c r="J338" s="74">
        <f>IF(Source!BS318&lt;&gt; 0, Source!BS318, 1)</f>
        <v>35.270000000000003</v>
      </c>
      <c r="K338" s="73">
        <f>Source!R318</f>
        <v>63.96</v>
      </c>
      <c r="L338" s="75"/>
      <c r="R338" s="52">
        <f>H338</f>
        <v>1.81</v>
      </c>
    </row>
    <row r="339" spans="1:26" ht="14.25" x14ac:dyDescent="0.2">
      <c r="A339" s="16"/>
      <c r="B339" s="17"/>
      <c r="C339" s="17" t="s">
        <v>1213</v>
      </c>
      <c r="D339" s="71"/>
      <c r="E339" s="72"/>
      <c r="F339" s="73">
        <f>Source!AL318</f>
        <v>95098.98</v>
      </c>
      <c r="G339" s="74" t="str">
        <f>Source!DD318</f>
        <v/>
      </c>
      <c r="H339" s="73">
        <f>ROUND(Source!AC318*Source!I318, 2)</f>
        <v>456.48</v>
      </c>
      <c r="I339" s="74"/>
      <c r="J339" s="74">
        <f>IF(Source!BC318&lt;&gt; 0, Source!BC318, 1)</f>
        <v>11.52</v>
      </c>
      <c r="K339" s="73">
        <f>Source!P318</f>
        <v>5258.59</v>
      </c>
      <c r="L339" s="75"/>
    </row>
    <row r="340" spans="1:26" ht="14.25" x14ac:dyDescent="0.2">
      <c r="A340" s="16"/>
      <c r="B340" s="17"/>
      <c r="C340" s="17" t="s">
        <v>1207</v>
      </c>
      <c r="D340" s="71" t="s">
        <v>1208</v>
      </c>
      <c r="E340" s="72">
        <f>Source!BZ318</f>
        <v>102</v>
      </c>
      <c r="F340" s="76"/>
      <c r="G340" s="74"/>
      <c r="H340" s="73">
        <f>SUM(S334:S342)</f>
        <v>32.51</v>
      </c>
      <c r="I340" s="77"/>
      <c r="J340" s="17">
        <f>Source!AT318</f>
        <v>102</v>
      </c>
      <c r="K340" s="73">
        <f>SUM(T334:T342)</f>
        <v>1146.83</v>
      </c>
      <c r="L340" s="75"/>
    </row>
    <row r="341" spans="1:26" ht="14.25" x14ac:dyDescent="0.2">
      <c r="A341" s="16"/>
      <c r="B341" s="17"/>
      <c r="C341" s="17" t="s">
        <v>1209</v>
      </c>
      <c r="D341" s="71" t="s">
        <v>1208</v>
      </c>
      <c r="E341" s="72">
        <f>Source!CA318</f>
        <v>58</v>
      </c>
      <c r="F341" s="76"/>
      <c r="G341" s="74"/>
      <c r="H341" s="73">
        <f>SUM(U334:U342)</f>
        <v>18.48</v>
      </c>
      <c r="I341" s="77"/>
      <c r="J341" s="17">
        <f>Source!AU318</f>
        <v>58</v>
      </c>
      <c r="K341" s="73">
        <f>SUM(V334:V342)</f>
        <v>652.12</v>
      </c>
      <c r="L341" s="75"/>
    </row>
    <row r="342" spans="1:26" ht="14.25" x14ac:dyDescent="0.2">
      <c r="A342" s="20"/>
      <c r="B342" s="21"/>
      <c r="C342" s="21" t="s">
        <v>1210</v>
      </c>
      <c r="D342" s="78" t="s">
        <v>1211</v>
      </c>
      <c r="E342" s="79">
        <f>Source!AQ318</f>
        <v>785.88</v>
      </c>
      <c r="F342" s="80"/>
      <c r="G342" s="81" t="str">
        <f>Source!DI318</f>
        <v/>
      </c>
      <c r="H342" s="80"/>
      <c r="I342" s="81"/>
      <c r="J342" s="81"/>
      <c r="K342" s="80"/>
      <c r="L342" s="82">
        <f>Source!U318</f>
        <v>3.7722239999999996</v>
      </c>
    </row>
    <row r="343" spans="1:26" ht="15" x14ac:dyDescent="0.2">
      <c r="G343" s="83">
        <f>ROUND(Source!AC318*Source!I318, 2)+ROUND(Source!AF318*Source!I318, 2)+ROUND((((Source!ET318)-(Source!EU318))+Source!AE318)*Source!I318, 2)+SUM(H340:H341)</f>
        <v>554.06000000000006</v>
      </c>
      <c r="H343" s="83"/>
      <c r="J343" s="83">
        <f>Source!O318+SUM(K340:K341)</f>
        <v>8316.25</v>
      </c>
      <c r="K343" s="83"/>
      <c r="L343" s="84">
        <f>Source!U318</f>
        <v>3.7722239999999996</v>
      </c>
      <c r="O343" s="85">
        <f>G343</f>
        <v>554.06000000000006</v>
      </c>
      <c r="P343" s="85">
        <f>J343</f>
        <v>8316.25</v>
      </c>
      <c r="Q343" s="85">
        <f>L343</f>
        <v>3.7722239999999996</v>
      </c>
      <c r="W343" s="52">
        <f>IF(Source!BI318&lt;=1,G343, 0)</f>
        <v>554.06000000000006</v>
      </c>
      <c r="X343" s="52">
        <f>IF(Source!BI318=2,G343, 0)</f>
        <v>0</v>
      </c>
      <c r="Y343" s="52">
        <f>IF(Source!BI318=3,G343, 0)</f>
        <v>0</v>
      </c>
      <c r="Z343" s="52">
        <f>IF(Source!BI318=4,G343, 0)</f>
        <v>0</v>
      </c>
    </row>
    <row r="344" spans="1:26" ht="42.75" x14ac:dyDescent="0.2">
      <c r="A344" s="16" t="str">
        <f>Source!E320</f>
        <v>40</v>
      </c>
      <c r="B344" s="17" t="str">
        <f>Source!F320</f>
        <v>11-01-015-7</v>
      </c>
      <c r="C344" s="17" t="str">
        <f>Source!G320</f>
        <v>Шлифовка бетонных или металлоцементных покрытий (постамент)</v>
      </c>
      <c r="D344" s="71" t="str">
        <f>Source!H320</f>
        <v>100 м2 покрытия</v>
      </c>
      <c r="E344" s="72">
        <f>Source!I320</f>
        <v>3.9199999999999999E-2</v>
      </c>
      <c r="F344" s="73">
        <f>IF(Source!AK320&lt;&gt; 0, Source!AK320,Source!AL320 + Source!AM320 + Source!AO320)</f>
        <v>872.32</v>
      </c>
      <c r="G344" s="74"/>
      <c r="H344" s="73"/>
      <c r="I344" s="74" t="str">
        <f>Source!BO320</f>
        <v>11-01-015-7</v>
      </c>
      <c r="J344" s="74"/>
      <c r="K344" s="73"/>
      <c r="L344" s="75"/>
      <c r="S344" s="52">
        <f>ROUND((Source!FX320/100)*((ROUND(Source!AF320*Source!I320, 2)+ROUND(Source!AE320*Source!I320, 2))), 2)</f>
        <v>30.63</v>
      </c>
      <c r="T344" s="52">
        <f>Source!X320</f>
        <v>1080.1600000000001</v>
      </c>
      <c r="U344" s="52">
        <f>ROUND((Source!FY320/100)*((ROUND(Source!AF320*Source!I320, 2)+ROUND(Source!AE320*Source!I320, 2))), 2)</f>
        <v>17.78</v>
      </c>
      <c r="V344" s="52">
        <f>Source!Y320</f>
        <v>626.88</v>
      </c>
    </row>
    <row r="345" spans="1:26" x14ac:dyDescent="0.2">
      <c r="C345" s="18" t="str">
        <f>"Объем: "&amp;Source!I320&amp;"=3,92/"&amp;"100"</f>
        <v>Объем: 0,0392=3,92/100</v>
      </c>
    </row>
    <row r="346" spans="1:26" ht="14.25" x14ac:dyDescent="0.2">
      <c r="A346" s="16"/>
      <c r="B346" s="17"/>
      <c r="C346" s="17" t="s">
        <v>1206</v>
      </c>
      <c r="D346" s="71"/>
      <c r="E346" s="72"/>
      <c r="F346" s="73">
        <f>Source!AO320</f>
        <v>678.74</v>
      </c>
      <c r="G346" s="74" t="str">
        <f>Source!DG320</f>
        <v/>
      </c>
      <c r="H346" s="73">
        <f>ROUND(Source!AF320*Source!I320, 2)</f>
        <v>26.61</v>
      </c>
      <c r="I346" s="74"/>
      <c r="J346" s="74">
        <f>IF(Source!BA320&lt;&gt; 0, Source!BA320, 1)</f>
        <v>35.270000000000003</v>
      </c>
      <c r="K346" s="73">
        <f>Source!S320</f>
        <v>938.42</v>
      </c>
      <c r="L346" s="75"/>
      <c r="R346" s="52">
        <f>H346</f>
        <v>26.61</v>
      </c>
    </row>
    <row r="347" spans="1:26" ht="14.25" x14ac:dyDescent="0.2">
      <c r="A347" s="16"/>
      <c r="B347" s="17"/>
      <c r="C347" s="17" t="s">
        <v>103</v>
      </c>
      <c r="D347" s="71"/>
      <c r="E347" s="72"/>
      <c r="F347" s="73">
        <f>Source!AM320</f>
        <v>177.22</v>
      </c>
      <c r="G347" s="74" t="str">
        <f>Source!DE320</f>
        <v/>
      </c>
      <c r="H347" s="73">
        <f>ROUND((((Source!ET320)-(Source!EU320))+Source!AE320)*Source!I320, 2)</f>
        <v>6.95</v>
      </c>
      <c r="I347" s="74"/>
      <c r="J347" s="74">
        <f>IF(Source!BB320&lt;&gt; 0, Source!BB320, 1)</f>
        <v>13.93</v>
      </c>
      <c r="K347" s="73">
        <f>Source!Q320</f>
        <v>96.77</v>
      </c>
      <c r="L347" s="75"/>
    </row>
    <row r="348" spans="1:26" ht="14.25" x14ac:dyDescent="0.2">
      <c r="A348" s="16"/>
      <c r="B348" s="17"/>
      <c r="C348" s="17" t="s">
        <v>1212</v>
      </c>
      <c r="D348" s="71"/>
      <c r="E348" s="72"/>
      <c r="F348" s="73">
        <f>Source!AN320</f>
        <v>18.809999999999999</v>
      </c>
      <c r="G348" s="74" t="str">
        <f>Source!DF320</f>
        <v/>
      </c>
      <c r="H348" s="73">
        <f>ROUND(Source!AE320*Source!I320, 2)</f>
        <v>0.74</v>
      </c>
      <c r="I348" s="74"/>
      <c r="J348" s="74">
        <f>IF(Source!BS320&lt;&gt; 0, Source!BS320, 1)</f>
        <v>35.270000000000003</v>
      </c>
      <c r="K348" s="73">
        <f>Source!R320</f>
        <v>26.01</v>
      </c>
      <c r="L348" s="75"/>
      <c r="R348" s="52">
        <f>H348</f>
        <v>0.74</v>
      </c>
    </row>
    <row r="349" spans="1:26" ht="14.25" x14ac:dyDescent="0.2">
      <c r="A349" s="16"/>
      <c r="B349" s="17"/>
      <c r="C349" s="17" t="s">
        <v>1213</v>
      </c>
      <c r="D349" s="71"/>
      <c r="E349" s="72"/>
      <c r="F349" s="73">
        <f>Source!AL320</f>
        <v>16.36</v>
      </c>
      <c r="G349" s="74" t="str">
        <f>Source!DD320</f>
        <v/>
      </c>
      <c r="H349" s="73">
        <f>ROUND(Source!AC320*Source!I320, 2)</f>
        <v>0.64</v>
      </c>
      <c r="I349" s="74"/>
      <c r="J349" s="74">
        <f>IF(Source!BC320&lt;&gt; 0, Source!BC320, 1)</f>
        <v>23.25</v>
      </c>
      <c r="K349" s="73">
        <f>Source!P320</f>
        <v>14.91</v>
      </c>
      <c r="L349" s="75"/>
    </row>
    <row r="350" spans="1:26" ht="14.25" x14ac:dyDescent="0.2">
      <c r="A350" s="16"/>
      <c r="B350" s="17"/>
      <c r="C350" s="17" t="s">
        <v>1207</v>
      </c>
      <c r="D350" s="71" t="s">
        <v>1208</v>
      </c>
      <c r="E350" s="72">
        <f>Source!BZ320</f>
        <v>112</v>
      </c>
      <c r="F350" s="76"/>
      <c r="G350" s="74"/>
      <c r="H350" s="73">
        <f>SUM(S344:S352)</f>
        <v>30.63</v>
      </c>
      <c r="I350" s="77"/>
      <c r="J350" s="17">
        <f>Source!AT320</f>
        <v>112</v>
      </c>
      <c r="K350" s="73">
        <f>SUM(T344:T352)</f>
        <v>1080.1600000000001</v>
      </c>
      <c r="L350" s="75"/>
    </row>
    <row r="351" spans="1:26" ht="14.25" x14ac:dyDescent="0.2">
      <c r="A351" s="16"/>
      <c r="B351" s="17"/>
      <c r="C351" s="17" t="s">
        <v>1209</v>
      </c>
      <c r="D351" s="71" t="s">
        <v>1208</v>
      </c>
      <c r="E351" s="72">
        <f>Source!CA320</f>
        <v>65</v>
      </c>
      <c r="F351" s="76"/>
      <c r="G351" s="74"/>
      <c r="H351" s="73">
        <f>SUM(U344:U352)</f>
        <v>17.78</v>
      </c>
      <c r="I351" s="77"/>
      <c r="J351" s="17">
        <f>Source!AU320</f>
        <v>65</v>
      </c>
      <c r="K351" s="73">
        <f>SUM(V344:V352)</f>
        <v>626.88</v>
      </c>
      <c r="L351" s="75"/>
    </row>
    <row r="352" spans="1:26" ht="14.25" x14ac:dyDescent="0.2">
      <c r="A352" s="20"/>
      <c r="B352" s="21"/>
      <c r="C352" s="21" t="s">
        <v>1210</v>
      </c>
      <c r="D352" s="78" t="s">
        <v>1211</v>
      </c>
      <c r="E352" s="79">
        <f>Source!AQ320</f>
        <v>80.040000000000006</v>
      </c>
      <c r="F352" s="80"/>
      <c r="G352" s="81" t="str">
        <f>Source!DI320</f>
        <v/>
      </c>
      <c r="H352" s="80"/>
      <c r="I352" s="81"/>
      <c r="J352" s="81"/>
      <c r="K352" s="80"/>
      <c r="L352" s="82">
        <f>Source!U320</f>
        <v>3.1375680000000004</v>
      </c>
    </row>
    <row r="353" spans="1:26" ht="15" x14ac:dyDescent="0.2">
      <c r="G353" s="83">
        <f>ROUND(Source!AC320*Source!I320, 2)+ROUND(Source!AF320*Source!I320, 2)+ROUND((((Source!ET320)-(Source!EU320))+Source!AE320)*Source!I320, 2)+SUM(H350:H351)</f>
        <v>82.61</v>
      </c>
      <c r="H353" s="83"/>
      <c r="J353" s="83">
        <f>Source!O320+SUM(K350:K351)</f>
        <v>2757.14</v>
      </c>
      <c r="K353" s="83"/>
      <c r="L353" s="84">
        <f>Source!U320</f>
        <v>3.1375680000000004</v>
      </c>
      <c r="O353" s="85">
        <f>G353</f>
        <v>82.61</v>
      </c>
      <c r="P353" s="85">
        <f>J353</f>
        <v>2757.14</v>
      </c>
      <c r="Q353" s="85">
        <f>L353</f>
        <v>3.1375680000000004</v>
      </c>
      <c r="W353" s="52">
        <f>IF(Source!BI320&lt;=1,G353, 0)</f>
        <v>82.61</v>
      </c>
      <c r="X353" s="52">
        <f>IF(Source!BI320=2,G353, 0)</f>
        <v>0</v>
      </c>
      <c r="Y353" s="52">
        <f>IF(Source!BI320=3,G353, 0)</f>
        <v>0</v>
      </c>
      <c r="Z353" s="52">
        <f>IF(Source!BI320=4,G353, 0)</f>
        <v>0</v>
      </c>
    </row>
    <row r="354" spans="1:26" ht="71.25" x14ac:dyDescent="0.2">
      <c r="A354" s="16" t="str">
        <f>Source!E321</f>
        <v>41</v>
      </c>
      <c r="B354" s="17" t="str">
        <f>Source!F321</f>
        <v>15-07-003-2</v>
      </c>
      <c r="C354" s="17" t="str">
        <f>Source!G321</f>
        <v>Грунтование водно-дисперсионной грунтовкой "Нортекс-Грунт" поверхностей пористых (камень, кирпич, бетон и т д)</v>
      </c>
      <c r="D354" s="71" t="str">
        <f>Source!H321</f>
        <v>100 м2 обрабатываемой поверхности</v>
      </c>
      <c r="E354" s="72">
        <f>Source!I321</f>
        <v>3.9199999999999999E-2</v>
      </c>
      <c r="F354" s="73">
        <f>IF(Source!AK321&lt;&gt; 0, Source!AK321,Source!AL321 + Source!AM321 + Source!AO321)</f>
        <v>272.14999999999998</v>
      </c>
      <c r="G354" s="74"/>
      <c r="H354" s="73"/>
      <c r="I354" s="74" t="str">
        <f>Source!BO321</f>
        <v>15-07-003-2</v>
      </c>
      <c r="J354" s="74"/>
      <c r="K354" s="73"/>
      <c r="L354" s="75"/>
      <c r="S354" s="52">
        <f>ROUND((Source!FX321/100)*((ROUND(Source!AF321*Source!I321, 2)+ROUND(Source!AE321*Source!I321, 2))), 2)</f>
        <v>1.24</v>
      </c>
      <c r="T354" s="52">
        <f>Source!X321</f>
        <v>43.91</v>
      </c>
      <c r="U354" s="52">
        <f>ROUND((Source!FY321/100)*((ROUND(Source!AF321*Source!I321, 2)+ROUND(Source!AE321*Source!I321, 2))), 2)</f>
        <v>0.61</v>
      </c>
      <c r="V354" s="52">
        <f>Source!Y321</f>
        <v>21.52</v>
      </c>
    </row>
    <row r="355" spans="1:26" x14ac:dyDescent="0.2">
      <c r="C355" s="18" t="str">
        <f>"Объем: "&amp;Source!I321&amp;"=3,92/"&amp;"100"</f>
        <v>Объем: 0,0392=3,92/100</v>
      </c>
    </row>
    <row r="356" spans="1:26" ht="14.25" x14ac:dyDescent="0.2">
      <c r="A356" s="16"/>
      <c r="B356" s="17"/>
      <c r="C356" s="17" t="s">
        <v>1206</v>
      </c>
      <c r="D356" s="71"/>
      <c r="E356" s="72"/>
      <c r="F356" s="73">
        <f>Source!AO321</f>
        <v>31.66</v>
      </c>
      <c r="G356" s="74" t="str">
        <f>Source!DG321</f>
        <v/>
      </c>
      <c r="H356" s="73">
        <f>ROUND(Source!AF321*Source!I321, 2)</f>
        <v>1.24</v>
      </c>
      <c r="I356" s="74"/>
      <c r="J356" s="74">
        <f>IF(Source!BA321&lt;&gt; 0, Source!BA321, 1)</f>
        <v>35.270000000000003</v>
      </c>
      <c r="K356" s="73">
        <f>Source!S321</f>
        <v>43.77</v>
      </c>
      <c r="L356" s="75"/>
      <c r="R356" s="52">
        <f>H356</f>
        <v>1.24</v>
      </c>
    </row>
    <row r="357" spans="1:26" ht="14.25" x14ac:dyDescent="0.2">
      <c r="A357" s="16"/>
      <c r="B357" s="17"/>
      <c r="C357" s="17" t="s">
        <v>103</v>
      </c>
      <c r="D357" s="71"/>
      <c r="E357" s="72"/>
      <c r="F357" s="73">
        <f>Source!AM321</f>
        <v>25.16</v>
      </c>
      <c r="G357" s="74" t="str">
        <f>Source!DE321</f>
        <v/>
      </c>
      <c r="H357" s="73">
        <f>ROUND((((Source!ET321)-(Source!EU321))+Source!AE321)*Source!I321, 2)</f>
        <v>0.99</v>
      </c>
      <c r="I357" s="74"/>
      <c r="J357" s="74">
        <f>IF(Source!BB321&lt;&gt; 0, Source!BB321, 1)</f>
        <v>7.17</v>
      </c>
      <c r="K357" s="73">
        <f>Source!Q321</f>
        <v>7.07</v>
      </c>
      <c r="L357" s="75"/>
    </row>
    <row r="358" spans="1:26" ht="14.25" x14ac:dyDescent="0.2">
      <c r="A358" s="16"/>
      <c r="B358" s="17"/>
      <c r="C358" s="17" t="s">
        <v>1212</v>
      </c>
      <c r="D358" s="71"/>
      <c r="E358" s="72"/>
      <c r="F358" s="73">
        <f>Source!AN321</f>
        <v>0.1</v>
      </c>
      <c r="G358" s="74" t="str">
        <f>Source!DF321</f>
        <v/>
      </c>
      <c r="H358" s="73">
        <f>ROUND(Source!AE321*Source!I321, 2)</f>
        <v>0</v>
      </c>
      <c r="I358" s="74"/>
      <c r="J358" s="74">
        <f>IF(Source!BS321&lt;&gt; 0, Source!BS321, 1)</f>
        <v>35.270000000000003</v>
      </c>
      <c r="K358" s="73">
        <f>Source!R321</f>
        <v>0.14000000000000001</v>
      </c>
      <c r="L358" s="75"/>
      <c r="R358" s="52">
        <f>H358</f>
        <v>0</v>
      </c>
    </row>
    <row r="359" spans="1:26" ht="14.25" x14ac:dyDescent="0.2">
      <c r="A359" s="16"/>
      <c r="B359" s="17"/>
      <c r="C359" s="17" t="s">
        <v>1213</v>
      </c>
      <c r="D359" s="71"/>
      <c r="E359" s="72"/>
      <c r="F359" s="73">
        <f>Source!AL321</f>
        <v>215.33</v>
      </c>
      <c r="G359" s="74" t="str">
        <f>Source!DD321</f>
        <v/>
      </c>
      <c r="H359" s="73">
        <f>ROUND(Source!AC321*Source!I321, 2)</f>
        <v>8.44</v>
      </c>
      <c r="I359" s="74"/>
      <c r="J359" s="74">
        <f>IF(Source!BC321&lt;&gt; 0, Source!BC321, 1)</f>
        <v>5.16</v>
      </c>
      <c r="K359" s="73">
        <f>Source!P321</f>
        <v>43.56</v>
      </c>
      <c r="L359" s="75"/>
    </row>
    <row r="360" spans="1:26" ht="14.25" x14ac:dyDescent="0.2">
      <c r="A360" s="16"/>
      <c r="B360" s="17"/>
      <c r="C360" s="17" t="s">
        <v>1207</v>
      </c>
      <c r="D360" s="71" t="s">
        <v>1208</v>
      </c>
      <c r="E360" s="72">
        <f>Source!BZ321</f>
        <v>100</v>
      </c>
      <c r="F360" s="76"/>
      <c r="G360" s="74"/>
      <c r="H360" s="73">
        <f>SUM(S354:S362)</f>
        <v>1.24</v>
      </c>
      <c r="I360" s="77"/>
      <c r="J360" s="17">
        <f>Source!AT321</f>
        <v>100</v>
      </c>
      <c r="K360" s="73">
        <f>SUM(T354:T362)</f>
        <v>43.91</v>
      </c>
      <c r="L360" s="75"/>
    </row>
    <row r="361" spans="1:26" ht="14.25" x14ac:dyDescent="0.2">
      <c r="A361" s="16"/>
      <c r="B361" s="17"/>
      <c r="C361" s="17" t="s">
        <v>1209</v>
      </c>
      <c r="D361" s="71" t="s">
        <v>1208</v>
      </c>
      <c r="E361" s="72">
        <f>Source!CA321</f>
        <v>49</v>
      </c>
      <c r="F361" s="76"/>
      <c r="G361" s="74"/>
      <c r="H361" s="73">
        <f>SUM(U354:U362)</f>
        <v>0.61</v>
      </c>
      <c r="I361" s="77"/>
      <c r="J361" s="17">
        <f>Source!AU321</f>
        <v>49</v>
      </c>
      <c r="K361" s="73">
        <f>SUM(V354:V362)</f>
        <v>21.52</v>
      </c>
      <c r="L361" s="75"/>
    </row>
    <row r="362" spans="1:26" ht="14.25" x14ac:dyDescent="0.2">
      <c r="A362" s="20"/>
      <c r="B362" s="21"/>
      <c r="C362" s="21" t="s">
        <v>1210</v>
      </c>
      <c r="D362" s="78" t="s">
        <v>1211</v>
      </c>
      <c r="E362" s="79">
        <f>Source!AQ321</f>
        <v>3.69</v>
      </c>
      <c r="F362" s="80"/>
      <c r="G362" s="81" t="str">
        <f>Source!DI321</f>
        <v/>
      </c>
      <c r="H362" s="80"/>
      <c r="I362" s="81"/>
      <c r="J362" s="81"/>
      <c r="K362" s="80"/>
      <c r="L362" s="82">
        <f>Source!U321</f>
        <v>0.144648</v>
      </c>
    </row>
    <row r="363" spans="1:26" ht="15" x14ac:dyDescent="0.2">
      <c r="G363" s="83">
        <f>ROUND(Source!AC321*Source!I321, 2)+ROUND(Source!AF321*Source!I321, 2)+ROUND((((Source!ET321)-(Source!EU321))+Source!AE321)*Source!I321, 2)+SUM(H360:H361)</f>
        <v>12.52</v>
      </c>
      <c r="H363" s="83"/>
      <c r="J363" s="83">
        <f>Source!O321+SUM(K360:K361)</f>
        <v>159.82999999999998</v>
      </c>
      <c r="K363" s="83"/>
      <c r="L363" s="84">
        <f>Source!U321</f>
        <v>0.144648</v>
      </c>
      <c r="O363" s="85">
        <f>G363</f>
        <v>12.52</v>
      </c>
      <c r="P363" s="85">
        <f>J363</f>
        <v>159.82999999999998</v>
      </c>
      <c r="Q363" s="85">
        <f>L363</f>
        <v>0.144648</v>
      </c>
      <c r="W363" s="52">
        <f>IF(Source!BI321&lt;=1,G363, 0)</f>
        <v>12.52</v>
      </c>
      <c r="X363" s="52">
        <f>IF(Source!BI321=2,G363, 0)</f>
        <v>0</v>
      </c>
      <c r="Y363" s="52">
        <f>IF(Source!BI321=3,G363, 0)</f>
        <v>0</v>
      </c>
      <c r="Z363" s="52">
        <f>IF(Source!BI321=4,G363, 0)</f>
        <v>0</v>
      </c>
    </row>
    <row r="364" spans="1:26" ht="71.25" x14ac:dyDescent="0.2">
      <c r="A364" s="16" t="str">
        <f>Source!E322</f>
        <v>42</v>
      </c>
      <c r="B364" s="17" t="str">
        <f>Source!F322</f>
        <v>15-04-007-3</v>
      </c>
      <c r="C364" s="17" t="str">
        <f>Source!G322</f>
        <v>Окраска водно-дисперсионными акриловыми составами улучшенная по сборным конструкциям стен, подготовленным под окраску</v>
      </c>
      <c r="D364" s="71" t="str">
        <f>Source!H322</f>
        <v>100 м2 окрашиваемой поверхности</v>
      </c>
      <c r="E364" s="72">
        <f>Source!I322</f>
        <v>3.9199999999999999E-2</v>
      </c>
      <c r="F364" s="73">
        <f>IF(Source!AK322&lt;&gt; 0, Source!AK322,Source!AL322 + Source!AM322 + Source!AO322)</f>
        <v>844.04</v>
      </c>
      <c r="G364" s="74"/>
      <c r="H364" s="73"/>
      <c r="I364" s="74" t="str">
        <f>Source!BO322</f>
        <v>15-04-007-3</v>
      </c>
      <c r="J364" s="74"/>
      <c r="K364" s="73"/>
      <c r="L364" s="75"/>
      <c r="S364" s="52">
        <f>ROUND((Source!FX322/100)*((ROUND(Source!AF322*Source!I322, 2)+ROUND(Source!AE322*Source!I322, 2))), 2)</f>
        <v>10.62</v>
      </c>
      <c r="T364" s="52">
        <f>Source!X322</f>
        <v>374.82</v>
      </c>
      <c r="U364" s="52">
        <f>ROUND((Source!FY322/100)*((ROUND(Source!AF322*Source!I322, 2)+ROUND(Source!AE322*Source!I322, 2))), 2)</f>
        <v>5.2</v>
      </c>
      <c r="V364" s="52">
        <f>Source!Y322</f>
        <v>183.66</v>
      </c>
    </row>
    <row r="365" spans="1:26" x14ac:dyDescent="0.2">
      <c r="C365" s="18" t="str">
        <f>"Объем: "&amp;Source!I322&amp;"=3,92/"&amp;"100"</f>
        <v>Объем: 0,0392=3,92/100</v>
      </c>
    </row>
    <row r="366" spans="1:26" ht="14.25" x14ac:dyDescent="0.2">
      <c r="A366" s="16"/>
      <c r="B366" s="17"/>
      <c r="C366" s="17" t="s">
        <v>1206</v>
      </c>
      <c r="D366" s="71"/>
      <c r="E366" s="72"/>
      <c r="F366" s="73">
        <f>Source!AO322</f>
        <v>271</v>
      </c>
      <c r="G366" s="74" t="str">
        <f>Source!DG322</f>
        <v/>
      </c>
      <c r="H366" s="73">
        <f>ROUND(Source!AF322*Source!I322, 2)</f>
        <v>10.62</v>
      </c>
      <c r="I366" s="74"/>
      <c r="J366" s="74">
        <f>IF(Source!BA322&lt;&gt; 0, Source!BA322, 1)</f>
        <v>35.270000000000003</v>
      </c>
      <c r="K366" s="73">
        <f>Source!S322</f>
        <v>374.68</v>
      </c>
      <c r="L366" s="75"/>
      <c r="R366" s="52">
        <f>H366</f>
        <v>10.62</v>
      </c>
    </row>
    <row r="367" spans="1:26" ht="14.25" x14ac:dyDescent="0.2">
      <c r="A367" s="16"/>
      <c r="B367" s="17"/>
      <c r="C367" s="17" t="s">
        <v>103</v>
      </c>
      <c r="D367" s="71"/>
      <c r="E367" s="72"/>
      <c r="F367" s="73">
        <f>Source!AM322</f>
        <v>9.4600000000000009</v>
      </c>
      <c r="G367" s="74" t="str">
        <f>Source!DE322</f>
        <v/>
      </c>
      <c r="H367" s="73">
        <f>ROUND((((Source!ET322)-(Source!EU322))+Source!AE322)*Source!I322, 2)</f>
        <v>0.37</v>
      </c>
      <c r="I367" s="74"/>
      <c r="J367" s="74">
        <f>IF(Source!BB322&lt;&gt; 0, Source!BB322, 1)</f>
        <v>14.26</v>
      </c>
      <c r="K367" s="73">
        <f>Source!Q322</f>
        <v>5.29</v>
      </c>
      <c r="L367" s="75"/>
    </row>
    <row r="368" spans="1:26" ht="14.25" x14ac:dyDescent="0.2">
      <c r="A368" s="16"/>
      <c r="B368" s="17"/>
      <c r="C368" s="17" t="s">
        <v>1212</v>
      </c>
      <c r="D368" s="71"/>
      <c r="E368" s="72"/>
      <c r="F368" s="73">
        <f>Source!AN322</f>
        <v>0.1</v>
      </c>
      <c r="G368" s="74" t="str">
        <f>Source!DF322</f>
        <v/>
      </c>
      <c r="H368" s="73">
        <f>ROUND(Source!AE322*Source!I322, 2)</f>
        <v>0</v>
      </c>
      <c r="I368" s="74"/>
      <c r="J368" s="74">
        <f>IF(Source!BS322&lt;&gt; 0, Source!BS322, 1)</f>
        <v>35.270000000000003</v>
      </c>
      <c r="K368" s="73">
        <f>Source!R322</f>
        <v>0.14000000000000001</v>
      </c>
      <c r="L368" s="75"/>
      <c r="R368" s="52">
        <f>H368</f>
        <v>0</v>
      </c>
    </row>
    <row r="369" spans="1:28" ht="14.25" x14ac:dyDescent="0.2">
      <c r="A369" s="16"/>
      <c r="B369" s="17"/>
      <c r="C369" s="17" t="s">
        <v>1213</v>
      </c>
      <c r="D369" s="71"/>
      <c r="E369" s="72"/>
      <c r="F369" s="73">
        <f>Source!AL322</f>
        <v>563.58000000000004</v>
      </c>
      <c r="G369" s="74" t="str">
        <f>Source!DD322</f>
        <v/>
      </c>
      <c r="H369" s="73">
        <f>ROUND(Source!AC322*Source!I322, 2)</f>
        <v>22.09</v>
      </c>
      <c r="I369" s="74"/>
      <c r="J369" s="74">
        <f>IF(Source!BC322&lt;&gt; 0, Source!BC322, 1)</f>
        <v>7.5</v>
      </c>
      <c r="K369" s="73">
        <f>Source!P322</f>
        <v>165.69</v>
      </c>
      <c r="L369" s="75"/>
    </row>
    <row r="370" spans="1:28" ht="14.25" x14ac:dyDescent="0.2">
      <c r="A370" s="16"/>
      <c r="B370" s="17"/>
      <c r="C370" s="17" t="s">
        <v>1207</v>
      </c>
      <c r="D370" s="71" t="s">
        <v>1208</v>
      </c>
      <c r="E370" s="72">
        <f>Source!BZ322</f>
        <v>100</v>
      </c>
      <c r="F370" s="76"/>
      <c r="G370" s="74"/>
      <c r="H370" s="73">
        <f>SUM(S364:S372)</f>
        <v>10.62</v>
      </c>
      <c r="I370" s="77"/>
      <c r="J370" s="17">
        <f>Source!AT322</f>
        <v>100</v>
      </c>
      <c r="K370" s="73">
        <f>SUM(T364:T372)</f>
        <v>374.82</v>
      </c>
      <c r="L370" s="75"/>
    </row>
    <row r="371" spans="1:28" ht="14.25" x14ac:dyDescent="0.2">
      <c r="A371" s="16"/>
      <c r="B371" s="17"/>
      <c r="C371" s="17" t="s">
        <v>1209</v>
      </c>
      <c r="D371" s="71" t="s">
        <v>1208</v>
      </c>
      <c r="E371" s="72">
        <f>Source!CA322</f>
        <v>49</v>
      </c>
      <c r="F371" s="76"/>
      <c r="G371" s="74"/>
      <c r="H371" s="73">
        <f>SUM(U364:U372)</f>
        <v>5.2</v>
      </c>
      <c r="I371" s="77"/>
      <c r="J371" s="17">
        <f>Source!AU322</f>
        <v>49</v>
      </c>
      <c r="K371" s="73">
        <f>SUM(V364:V372)</f>
        <v>183.66</v>
      </c>
      <c r="L371" s="75"/>
    </row>
    <row r="372" spans="1:28" ht="14.25" x14ac:dyDescent="0.2">
      <c r="A372" s="20"/>
      <c r="B372" s="21"/>
      <c r="C372" s="21" t="s">
        <v>1210</v>
      </c>
      <c r="D372" s="78" t="s">
        <v>1211</v>
      </c>
      <c r="E372" s="79">
        <f>Source!AQ322</f>
        <v>32.729999999999997</v>
      </c>
      <c r="F372" s="80"/>
      <c r="G372" s="81" t="str">
        <f>Source!DI322</f>
        <v/>
      </c>
      <c r="H372" s="80"/>
      <c r="I372" s="81"/>
      <c r="J372" s="81"/>
      <c r="K372" s="80"/>
      <c r="L372" s="82">
        <f>Source!U322</f>
        <v>1.2830159999999999</v>
      </c>
    </row>
    <row r="373" spans="1:28" ht="15" x14ac:dyDescent="0.2">
      <c r="G373" s="83">
        <f>ROUND(Source!AC322*Source!I322, 2)+ROUND(Source!AF322*Source!I322, 2)+ROUND((((Source!ET322)-(Source!EU322))+Source!AE322)*Source!I322, 2)+SUM(H370:H371)</f>
        <v>48.9</v>
      </c>
      <c r="H373" s="83"/>
      <c r="J373" s="83">
        <f>Source!O322+SUM(K370:K371)</f>
        <v>1104.1399999999999</v>
      </c>
      <c r="K373" s="83"/>
      <c r="L373" s="84">
        <f>Source!U322</f>
        <v>1.2830159999999999</v>
      </c>
      <c r="O373" s="85">
        <f>G373</f>
        <v>48.9</v>
      </c>
      <c r="P373" s="85">
        <f>J373</f>
        <v>1104.1399999999999</v>
      </c>
      <c r="Q373" s="85">
        <f>L373</f>
        <v>1.2830159999999999</v>
      </c>
      <c r="W373" s="52">
        <f>IF(Source!BI322&lt;=1,G373, 0)</f>
        <v>48.9</v>
      </c>
      <c r="X373" s="52">
        <f>IF(Source!BI322=2,G373, 0)</f>
        <v>0</v>
      </c>
      <c r="Y373" s="52">
        <f>IF(Source!BI322=3,G373, 0)</f>
        <v>0</v>
      </c>
      <c r="Z373" s="52">
        <f>IF(Source!BI322=4,G373, 0)</f>
        <v>0</v>
      </c>
    </row>
    <row r="374" spans="1:28" ht="42.75" x14ac:dyDescent="0.2">
      <c r="A374" s="16" t="str">
        <f>Source!E323</f>
        <v>43</v>
      </c>
      <c r="B374" s="17" t="str">
        <f>Source!F323</f>
        <v>09-08-001-1</v>
      </c>
      <c r="C374" s="17" t="str">
        <f>Source!G323</f>
        <v>Установка металлических столбов высотой до 4 м с погружением в бетонное основание</v>
      </c>
      <c r="D374" s="71" t="str">
        <f>Source!H323</f>
        <v>100 столбов</v>
      </c>
      <c r="E374" s="72">
        <f>Source!I323</f>
        <v>0.1</v>
      </c>
      <c r="F374" s="73">
        <f>IF(Source!AK323&lt;&gt; 0, Source!AK323,Source!AL323 + Source!AM323 + Source!AO323)</f>
        <v>3978.49</v>
      </c>
      <c r="G374" s="74"/>
      <c r="H374" s="73"/>
      <c r="I374" s="74" t="str">
        <f>Source!BO323</f>
        <v>09-08-001-1</v>
      </c>
      <c r="J374" s="74"/>
      <c r="K374" s="73"/>
      <c r="L374" s="75"/>
      <c r="S374" s="52">
        <f>ROUND((Source!FX323/100)*((ROUND(Source!AF323*Source!I323, 2)+ROUND(Source!AE323*Source!I323, 2))), 2)</f>
        <v>49.03</v>
      </c>
      <c r="T374" s="52">
        <f>Source!X323</f>
        <v>1729.23</v>
      </c>
      <c r="U374" s="52">
        <f>ROUND((Source!FY323/100)*((ROUND(Source!AF323*Source!I323, 2)+ROUND(Source!AE323*Source!I323, 2))), 2)</f>
        <v>32.69</v>
      </c>
      <c r="V374" s="52">
        <f>Source!Y323</f>
        <v>1152.82</v>
      </c>
    </row>
    <row r="375" spans="1:28" x14ac:dyDescent="0.2">
      <c r="C375" s="18" t="str">
        <f>"Объем: "&amp;Source!I323&amp;"=10/"&amp;"100"</f>
        <v>Объем: 0,1=10/100</v>
      </c>
    </row>
    <row r="376" spans="1:28" ht="14.25" x14ac:dyDescent="0.2">
      <c r="A376" s="16"/>
      <c r="B376" s="17"/>
      <c r="C376" s="17" t="s">
        <v>1206</v>
      </c>
      <c r="D376" s="71"/>
      <c r="E376" s="72"/>
      <c r="F376" s="73">
        <f>Source!AO323</f>
        <v>284.05</v>
      </c>
      <c r="G376" s="74" t="str">
        <f>Source!DG323</f>
        <v/>
      </c>
      <c r="H376" s="73">
        <f>ROUND(Source!AF323*Source!I323, 2)</f>
        <v>28.41</v>
      </c>
      <c r="I376" s="74"/>
      <c r="J376" s="74">
        <f>IF(Source!BA323&lt;&gt; 0, Source!BA323, 1)</f>
        <v>35.270000000000003</v>
      </c>
      <c r="K376" s="73">
        <f>Source!S323</f>
        <v>1001.84</v>
      </c>
      <c r="L376" s="75"/>
      <c r="R376" s="52">
        <f>H376</f>
        <v>28.41</v>
      </c>
    </row>
    <row r="377" spans="1:28" ht="14.25" x14ac:dyDescent="0.2">
      <c r="A377" s="16"/>
      <c r="B377" s="17"/>
      <c r="C377" s="17" t="s">
        <v>103</v>
      </c>
      <c r="D377" s="71"/>
      <c r="E377" s="72"/>
      <c r="F377" s="73">
        <f>Source!AM323</f>
        <v>3457.98</v>
      </c>
      <c r="G377" s="74" t="str">
        <f>Source!DE323</f>
        <v/>
      </c>
      <c r="H377" s="73">
        <f>ROUND((((Source!ET323)-(Source!EU323))+Source!AE323)*Source!I323, 2)</f>
        <v>345.8</v>
      </c>
      <c r="I377" s="74"/>
      <c r="J377" s="74">
        <f>IF(Source!BB323&lt;&gt; 0, Source!BB323, 1)</f>
        <v>11.86</v>
      </c>
      <c r="K377" s="73">
        <f>Source!Q323</f>
        <v>4101.16</v>
      </c>
      <c r="L377" s="75"/>
    </row>
    <row r="378" spans="1:28" ht="14.25" x14ac:dyDescent="0.2">
      <c r="A378" s="16"/>
      <c r="B378" s="17"/>
      <c r="C378" s="17" t="s">
        <v>1212</v>
      </c>
      <c r="D378" s="71"/>
      <c r="E378" s="72"/>
      <c r="F378" s="73">
        <f>Source!AN323</f>
        <v>243.14</v>
      </c>
      <c r="G378" s="74" t="str">
        <f>Source!DF323</f>
        <v/>
      </c>
      <c r="H378" s="73">
        <f>ROUND(Source!AE323*Source!I323, 2)</f>
        <v>24.31</v>
      </c>
      <c r="I378" s="74"/>
      <c r="J378" s="74">
        <f>IF(Source!BS323&lt;&gt; 0, Source!BS323, 1)</f>
        <v>35.270000000000003</v>
      </c>
      <c r="K378" s="73">
        <f>Source!R323</f>
        <v>857.55</v>
      </c>
      <c r="L378" s="75"/>
      <c r="R378" s="52">
        <f>H378</f>
        <v>24.31</v>
      </c>
    </row>
    <row r="379" spans="1:28" ht="14.25" x14ac:dyDescent="0.2">
      <c r="A379" s="16"/>
      <c r="B379" s="17"/>
      <c r="C379" s="17" t="s">
        <v>1213</v>
      </c>
      <c r="D379" s="71"/>
      <c r="E379" s="72"/>
      <c r="F379" s="73">
        <f>Source!AL323</f>
        <v>236.46</v>
      </c>
      <c r="G379" s="74" t="str">
        <f>Source!DD323</f>
        <v/>
      </c>
      <c r="H379" s="73">
        <f>ROUND(Source!AC323*Source!I323, 2)</f>
        <v>23.65</v>
      </c>
      <c r="I379" s="74"/>
      <c r="J379" s="74">
        <f>IF(Source!BC323&lt;&gt; 0, Source!BC323, 1)</f>
        <v>10.34</v>
      </c>
      <c r="K379" s="73">
        <f>Source!P323</f>
        <v>244.5</v>
      </c>
      <c r="L379" s="75"/>
    </row>
    <row r="380" spans="1:28" ht="14.25" x14ac:dyDescent="0.2">
      <c r="A380" s="16"/>
      <c r="B380" s="17"/>
      <c r="C380" s="17" t="s">
        <v>1207</v>
      </c>
      <c r="D380" s="71" t="s">
        <v>1208</v>
      </c>
      <c r="E380" s="72">
        <f>Source!BZ323</f>
        <v>93</v>
      </c>
      <c r="F380" s="76"/>
      <c r="G380" s="74"/>
      <c r="H380" s="73">
        <f>SUM(S374:S384)</f>
        <v>49.03</v>
      </c>
      <c r="I380" s="77"/>
      <c r="J380" s="17">
        <f>Source!AT323</f>
        <v>93</v>
      </c>
      <c r="K380" s="73">
        <f>SUM(T374:T384)</f>
        <v>1729.23</v>
      </c>
      <c r="L380" s="75"/>
    </row>
    <row r="381" spans="1:28" ht="14.25" x14ac:dyDescent="0.2">
      <c r="A381" s="16"/>
      <c r="B381" s="17"/>
      <c r="C381" s="17" t="s">
        <v>1209</v>
      </c>
      <c r="D381" s="71" t="s">
        <v>1208</v>
      </c>
      <c r="E381" s="72">
        <f>Source!CA323</f>
        <v>62</v>
      </c>
      <c r="F381" s="76"/>
      <c r="G381" s="74"/>
      <c r="H381" s="73">
        <f>SUM(U374:U384)</f>
        <v>32.69</v>
      </c>
      <c r="I381" s="77"/>
      <c r="J381" s="17">
        <f>Source!AU323</f>
        <v>62</v>
      </c>
      <c r="K381" s="73">
        <f>SUM(V374:V384)</f>
        <v>1152.82</v>
      </c>
      <c r="L381" s="75"/>
    </row>
    <row r="382" spans="1:28" ht="14.25" x14ac:dyDescent="0.2">
      <c r="A382" s="16"/>
      <c r="B382" s="17"/>
      <c r="C382" s="17" t="s">
        <v>1210</v>
      </c>
      <c r="D382" s="71" t="s">
        <v>1211</v>
      </c>
      <c r="E382" s="72">
        <f>Source!AQ323</f>
        <v>35.64</v>
      </c>
      <c r="F382" s="73"/>
      <c r="G382" s="74" t="str">
        <f>Source!DI323</f>
        <v/>
      </c>
      <c r="H382" s="73"/>
      <c r="I382" s="74"/>
      <c r="J382" s="74"/>
      <c r="K382" s="73"/>
      <c r="L382" s="89">
        <f>Source!U323</f>
        <v>3.5640000000000001</v>
      </c>
    </row>
    <row r="383" spans="1:28" ht="14.25" x14ac:dyDescent="0.2">
      <c r="A383" s="95" t="str">
        <f>Source!E324</f>
        <v>43,1</v>
      </c>
      <c r="B383" s="95" t="str">
        <f>Source!F324</f>
        <v>201-9212</v>
      </c>
      <c r="C383" s="95" t="str">
        <f>Source!G324</f>
        <v>Стойки металлические опорные</v>
      </c>
      <c r="D383" s="96" t="str">
        <f>Source!H324</f>
        <v>шт.</v>
      </c>
      <c r="E383" s="97">
        <f>Source!I324</f>
        <v>10</v>
      </c>
      <c r="F383" s="98">
        <f>Source!AK324</f>
        <v>0</v>
      </c>
      <c r="G383" s="99" t="s">
        <v>3</v>
      </c>
      <c r="H383" s="98">
        <f>ROUND(Source!AC324*Source!I324, 2)+ROUND((((Source!ET324)-(Source!EU324))+Source!AE324)*Source!I324, 2)+ROUND(Source!AF324*Source!I324, 2)</f>
        <v>0</v>
      </c>
      <c r="I383" s="96"/>
      <c r="J383" s="96">
        <f>IF(Source!BC324&lt;&gt; 0, Source!BC324, 1)</f>
        <v>1</v>
      </c>
      <c r="K383" s="98">
        <f>Source!O324</f>
        <v>0</v>
      </c>
      <c r="L383" s="98"/>
      <c r="S383" s="52">
        <f>ROUND((Source!FX324/100)*((ROUND(Source!AF324*Source!I324, 2)+ROUND(Source!AE324*Source!I324, 2))), 2)</f>
        <v>0</v>
      </c>
      <c r="T383" s="52">
        <f>Source!X324</f>
        <v>0</v>
      </c>
      <c r="U383" s="52">
        <f>ROUND((Source!FY324/100)*((ROUND(Source!AF324*Source!I324, 2)+ROUND(Source!AE324*Source!I324, 2))), 2)</f>
        <v>0</v>
      </c>
      <c r="V383" s="52">
        <f>Source!Y324</f>
        <v>0</v>
      </c>
      <c r="Y383" s="52">
        <f>IF(Source!BI324=3,H383, 0)</f>
        <v>0</v>
      </c>
      <c r="AA383" s="52">
        <f>ROUND(Source!AC324*Source!I324, 2)+ROUND((((Source!ET324)-(Source!EU324))+Source!AE324)*Source!I324, 2)+ROUND(Source!AF324*Source!I324, 2)</f>
        <v>0</v>
      </c>
      <c r="AB383" s="52">
        <f>Source!O324</f>
        <v>0</v>
      </c>
    </row>
    <row r="384" spans="1:28" ht="14.25" x14ac:dyDescent="0.2">
      <c r="A384" s="90" t="str">
        <f>Source!E325</f>
        <v>43,2</v>
      </c>
      <c r="B384" s="90" t="str">
        <f>Source!F325</f>
        <v>401-9021</v>
      </c>
      <c r="C384" s="90" t="str">
        <f>Source!G325</f>
        <v>Бетон</v>
      </c>
      <c r="D384" s="91" t="str">
        <f>Source!H325</f>
        <v>м3</v>
      </c>
      <c r="E384" s="92">
        <f>Source!I325</f>
        <v>0.63400000000000001</v>
      </c>
      <c r="F384" s="93">
        <f>Source!AK325</f>
        <v>0</v>
      </c>
      <c r="G384" s="94" t="s">
        <v>3</v>
      </c>
      <c r="H384" s="93">
        <f>ROUND(Source!AC325*Source!I325, 2)+ROUND((((Source!ET325)-(Source!EU325))+Source!AE325)*Source!I325, 2)+ROUND(Source!AF325*Source!I325, 2)</f>
        <v>0</v>
      </c>
      <c r="I384" s="91"/>
      <c r="J384" s="91">
        <f>IF(Source!BC325&lt;&gt; 0, Source!BC325, 1)</f>
        <v>1</v>
      </c>
      <c r="K384" s="93">
        <f>Source!O325</f>
        <v>0</v>
      </c>
      <c r="L384" s="93"/>
      <c r="S384" s="52">
        <f>ROUND((Source!FX325/100)*((ROUND(Source!AF325*Source!I325, 2)+ROUND(Source!AE325*Source!I325, 2))), 2)</f>
        <v>0</v>
      </c>
      <c r="T384" s="52">
        <f>Source!X325</f>
        <v>0</v>
      </c>
      <c r="U384" s="52">
        <f>ROUND((Source!FY325/100)*((ROUND(Source!AF325*Source!I325, 2)+ROUND(Source!AE325*Source!I325, 2))), 2)</f>
        <v>0</v>
      </c>
      <c r="V384" s="52">
        <f>Source!Y325</f>
        <v>0</v>
      </c>
      <c r="Y384" s="52">
        <f>IF(Source!BI325=3,H384, 0)</f>
        <v>0</v>
      </c>
      <c r="AA384" s="52">
        <f>ROUND(Source!AC325*Source!I325, 2)+ROUND((((Source!ET325)-(Source!EU325))+Source!AE325)*Source!I325, 2)+ROUND(Source!AF325*Source!I325, 2)</f>
        <v>0</v>
      </c>
      <c r="AB384" s="52">
        <f>Source!O325</f>
        <v>0</v>
      </c>
    </row>
    <row r="385" spans="1:28" ht="15" x14ac:dyDescent="0.2">
      <c r="G385" s="83">
        <f>ROUND(Source!AC323*Source!I323, 2)+ROUND(Source!AF323*Source!I323, 2)+ROUND((((Source!ET323)-(Source!EU323))+Source!AE323)*Source!I323, 2)+SUM(H380:H381)+SUM(AA383:AA384)</f>
        <v>479.58000000000004</v>
      </c>
      <c r="H385" s="83"/>
      <c r="J385" s="83">
        <f>Source!O323+SUM(K380:K381)+SUM(AB383:AB384)</f>
        <v>8229.5499999999993</v>
      </c>
      <c r="K385" s="83"/>
      <c r="L385" s="84">
        <f>Source!U323</f>
        <v>3.5640000000000001</v>
      </c>
      <c r="O385" s="85">
        <f>G385</f>
        <v>479.58000000000004</v>
      </c>
      <c r="P385" s="85">
        <f>J385</f>
        <v>8229.5499999999993</v>
      </c>
      <c r="Q385" s="85">
        <f>L385</f>
        <v>3.5640000000000001</v>
      </c>
      <c r="W385" s="52">
        <f>IF(Source!BI323&lt;=1,G385, 0)</f>
        <v>479.58000000000004</v>
      </c>
      <c r="X385" s="52">
        <f>IF(Source!BI323=2,G385, 0)</f>
        <v>0</v>
      </c>
      <c r="Y385" s="52">
        <f>IF(Source!BI323=3,G385, 0)</f>
        <v>0</v>
      </c>
      <c r="Z385" s="52">
        <f>IF(Source!BI323=4,G385, 0)</f>
        <v>0</v>
      </c>
    </row>
    <row r="386" spans="1:28" ht="57" x14ac:dyDescent="0.2">
      <c r="A386" s="16" t="str">
        <f>Source!E326</f>
        <v>44</v>
      </c>
      <c r="B386" s="17" t="str">
        <f>Source!F326</f>
        <v>103-2491</v>
      </c>
      <c r="C386" s="17" t="str">
        <f>Source!G326</f>
        <v>Трубы стальные электросварные прямошовные (ГОСТ 10704-91), наружный диаметр 108 мм, толщина стенки 4,0 мм</v>
      </c>
      <c r="D386" s="71" t="str">
        <f>Source!H326</f>
        <v>м</v>
      </c>
      <c r="E386" s="72">
        <f>Source!I326</f>
        <v>40</v>
      </c>
      <c r="F386" s="73">
        <f>IF(Source!AK326&lt;&gt; 0, Source!AK326,Source!AL326 + Source!AM326 + Source!AO326)</f>
        <v>93.17</v>
      </c>
      <c r="G386" s="74"/>
      <c r="H386" s="73"/>
      <c r="I386" s="74" t="str">
        <f>Source!BO326</f>
        <v>103-2491</v>
      </c>
      <c r="J386" s="74"/>
      <c r="K386" s="73"/>
      <c r="L386" s="75"/>
      <c r="S386" s="52">
        <f>ROUND((Source!FX326/100)*((ROUND(Source!AF326*Source!I326, 2)+ROUND(Source!AE326*Source!I326, 2))), 2)</f>
        <v>0</v>
      </c>
      <c r="T386" s="52">
        <f>Source!X326</f>
        <v>0</v>
      </c>
      <c r="U386" s="52">
        <f>ROUND((Source!FY326/100)*((ROUND(Source!AF326*Source!I326, 2)+ROUND(Source!AE326*Source!I326, 2))), 2)</f>
        <v>0</v>
      </c>
      <c r="V386" s="52">
        <f>Source!Y326</f>
        <v>0</v>
      </c>
    </row>
    <row r="387" spans="1:28" ht="14.25" x14ac:dyDescent="0.2">
      <c r="A387" s="20"/>
      <c r="B387" s="21"/>
      <c r="C387" s="21" t="s">
        <v>1213</v>
      </c>
      <c r="D387" s="78"/>
      <c r="E387" s="79"/>
      <c r="F387" s="80">
        <f>Source!AL326</f>
        <v>93.17</v>
      </c>
      <c r="G387" s="81" t="str">
        <f>Source!DD326</f>
        <v/>
      </c>
      <c r="H387" s="80">
        <f>ROUND(Source!AC326*Source!I326, 2)</f>
        <v>3726.8</v>
      </c>
      <c r="I387" s="81"/>
      <c r="J387" s="81">
        <f>IF(Source!BC326&lt;&gt; 0, Source!BC326, 1)</f>
        <v>7.28</v>
      </c>
      <c r="K387" s="80">
        <f>Source!P326</f>
        <v>27131.1</v>
      </c>
      <c r="L387" s="100"/>
    </row>
    <row r="388" spans="1:28" ht="15" x14ac:dyDescent="0.2">
      <c r="G388" s="83">
        <f>ROUND(Source!AC326*Source!I326, 2)+ROUND(Source!AF326*Source!I326, 2)+ROUND((((Source!ET326)-(Source!EU326))+Source!AE326)*Source!I326, 2)</f>
        <v>3726.8</v>
      </c>
      <c r="H388" s="83"/>
      <c r="J388" s="83">
        <f>Source!O326</f>
        <v>27131.1</v>
      </c>
      <c r="K388" s="83"/>
      <c r="L388" s="84">
        <f>Source!U326</f>
        <v>0</v>
      </c>
      <c r="O388" s="85">
        <f>G388</f>
        <v>3726.8</v>
      </c>
      <c r="P388" s="85">
        <f>J388</f>
        <v>27131.1</v>
      </c>
      <c r="Q388" s="85">
        <f>L388</f>
        <v>0</v>
      </c>
      <c r="W388" s="52">
        <f>IF(Source!BI326&lt;=1,G388, 0)</f>
        <v>3726.8</v>
      </c>
      <c r="X388" s="52">
        <f>IF(Source!BI326=2,G388, 0)</f>
        <v>0</v>
      </c>
      <c r="Y388" s="52">
        <f>IF(Source!BI326=3,G388, 0)</f>
        <v>0</v>
      </c>
      <c r="Z388" s="52">
        <f>IF(Source!BI326=4,G388, 0)</f>
        <v>0</v>
      </c>
    </row>
    <row r="389" spans="1:28" ht="28.5" x14ac:dyDescent="0.2">
      <c r="A389" s="16" t="str">
        <f>Source!E327</f>
        <v>45</v>
      </c>
      <c r="B389" s="17" t="str">
        <f>Source!F327</f>
        <v>401-0066</v>
      </c>
      <c r="C389" s="17" t="str">
        <f>Source!G327</f>
        <v>Бетон тяжелый, крупность заполнителя 20 мм, класс В15 (М200)</v>
      </c>
      <c r="D389" s="71" t="str">
        <f>Source!H327</f>
        <v>м3</v>
      </c>
      <c r="E389" s="72">
        <f>Source!I327</f>
        <v>0.63400000000000001</v>
      </c>
      <c r="F389" s="73">
        <f>IF(Source!AK327&lt;&gt; 0, Source!AK327,Source!AL327 + Source!AM327 + Source!AO327)</f>
        <v>633</v>
      </c>
      <c r="G389" s="74"/>
      <c r="H389" s="73"/>
      <c r="I389" s="74" t="str">
        <f>Source!BO327</f>
        <v>401-0066</v>
      </c>
      <c r="J389" s="74"/>
      <c r="K389" s="73"/>
      <c r="L389" s="75"/>
      <c r="S389" s="52">
        <f>ROUND((Source!FX327/100)*((ROUND(Source!AF327*Source!I327, 2)+ROUND(Source!AE327*Source!I327, 2))), 2)</f>
        <v>0</v>
      </c>
      <c r="T389" s="52">
        <f>Source!X327</f>
        <v>0</v>
      </c>
      <c r="U389" s="52">
        <f>ROUND((Source!FY327/100)*((ROUND(Source!AF327*Source!I327, 2)+ROUND(Source!AE327*Source!I327, 2))), 2)</f>
        <v>0</v>
      </c>
      <c r="V389" s="52">
        <f>Source!Y327</f>
        <v>0</v>
      </c>
    </row>
    <row r="390" spans="1:28" ht="14.25" x14ac:dyDescent="0.2">
      <c r="A390" s="20"/>
      <c r="B390" s="21"/>
      <c r="C390" s="21" t="s">
        <v>1213</v>
      </c>
      <c r="D390" s="78"/>
      <c r="E390" s="79"/>
      <c r="F390" s="80">
        <f>Source!AL327</f>
        <v>633</v>
      </c>
      <c r="G390" s="81" t="str">
        <f>Source!DD327</f>
        <v/>
      </c>
      <c r="H390" s="80">
        <f>ROUND(Source!AC327*Source!I327, 2)</f>
        <v>401.32</v>
      </c>
      <c r="I390" s="81"/>
      <c r="J390" s="81">
        <f>IF(Source!BC327&lt;&gt; 0, Source!BC327, 1)</f>
        <v>11.16</v>
      </c>
      <c r="K390" s="80">
        <f>Source!P327</f>
        <v>4478.75</v>
      </c>
      <c r="L390" s="100"/>
    </row>
    <row r="391" spans="1:28" ht="15" x14ac:dyDescent="0.2">
      <c r="G391" s="83">
        <f>ROUND(Source!AC327*Source!I327, 2)+ROUND(Source!AF327*Source!I327, 2)+ROUND((((Source!ET327)-(Source!EU327))+Source!AE327)*Source!I327, 2)</f>
        <v>401.32</v>
      </c>
      <c r="H391" s="83"/>
      <c r="J391" s="83">
        <f>Source!O327</f>
        <v>4478.75</v>
      </c>
      <c r="K391" s="83"/>
      <c r="L391" s="84">
        <f>Source!U327</f>
        <v>0</v>
      </c>
      <c r="O391" s="85">
        <f>G391</f>
        <v>401.32</v>
      </c>
      <c r="P391" s="85">
        <f>J391</f>
        <v>4478.75</v>
      </c>
      <c r="Q391" s="85">
        <f>L391</f>
        <v>0</v>
      </c>
      <c r="W391" s="52">
        <f>IF(Source!BI327&lt;=1,G391, 0)</f>
        <v>401.32</v>
      </c>
      <c r="X391" s="52">
        <f>IF(Source!BI327=2,G391, 0)</f>
        <v>0</v>
      </c>
      <c r="Y391" s="52">
        <f>IF(Source!BI327=3,G391, 0)</f>
        <v>0</v>
      </c>
      <c r="Z391" s="52">
        <f>IF(Source!BI327=4,G391, 0)</f>
        <v>0</v>
      </c>
    </row>
    <row r="392" spans="1:28" ht="42.75" x14ac:dyDescent="0.2">
      <c r="A392" s="16" t="str">
        <f>Source!E328</f>
        <v>46</v>
      </c>
      <c r="B392" s="17" t="str">
        <f>Source!F328</f>
        <v>09-03-015-1</v>
      </c>
      <c r="C392" s="17" t="str">
        <f>Source!G328</f>
        <v>Монтаж прогонов при шаге ферм до 12 м при высоте здания до 25 м</v>
      </c>
      <c r="D392" s="71" t="str">
        <f>Source!H328</f>
        <v>1 т конструкций</v>
      </c>
      <c r="E392" s="72">
        <f>Source!I328</f>
        <v>0.29120000000000001</v>
      </c>
      <c r="F392" s="73">
        <f>IF(Source!AK328&lt;&gt; 0, Source!AK328,Source!AL328 + Source!AM328 + Source!AO328)</f>
        <v>519.21</v>
      </c>
      <c r="G392" s="74"/>
      <c r="H392" s="73"/>
      <c r="I392" s="74" t="str">
        <f>Source!BO328</f>
        <v>09-03-015-1</v>
      </c>
      <c r="J392" s="74"/>
      <c r="K392" s="73"/>
      <c r="L392" s="75"/>
      <c r="S392" s="52">
        <f>ROUND((Source!FX328/100)*((ROUND(Source!AF328*Source!I328, 2)+ROUND(Source!AE328*Source!I328, 2))), 2)</f>
        <v>40.380000000000003</v>
      </c>
      <c r="T392" s="52">
        <f>Source!X328</f>
        <v>1424.25</v>
      </c>
      <c r="U392" s="52">
        <f>ROUND((Source!FY328/100)*((ROUND(Source!AF328*Source!I328, 2)+ROUND(Source!AE328*Source!I328, 2))), 2)</f>
        <v>26.92</v>
      </c>
      <c r="V392" s="52">
        <f>Source!Y328</f>
        <v>949.5</v>
      </c>
    </row>
    <row r="393" spans="1:28" ht="14.25" x14ac:dyDescent="0.2">
      <c r="A393" s="16"/>
      <c r="B393" s="17"/>
      <c r="C393" s="17" t="s">
        <v>1206</v>
      </c>
      <c r="D393" s="71"/>
      <c r="E393" s="72"/>
      <c r="F393" s="73">
        <f>Source!AO328</f>
        <v>129</v>
      </c>
      <c r="G393" s="74" t="str">
        <f>Source!DG328</f>
        <v/>
      </c>
      <c r="H393" s="73">
        <f>ROUND(Source!AF328*Source!I328, 2)</f>
        <v>37.56</v>
      </c>
      <c r="I393" s="74"/>
      <c r="J393" s="74">
        <f>IF(Source!BA328&lt;&gt; 0, Source!BA328, 1)</f>
        <v>35.270000000000003</v>
      </c>
      <c r="K393" s="73">
        <f>Source!S328</f>
        <v>1324.91</v>
      </c>
      <c r="L393" s="75"/>
      <c r="R393" s="52">
        <f>H393</f>
        <v>37.56</v>
      </c>
    </row>
    <row r="394" spans="1:28" ht="14.25" x14ac:dyDescent="0.2">
      <c r="A394" s="16"/>
      <c r="B394" s="17"/>
      <c r="C394" s="17" t="s">
        <v>103</v>
      </c>
      <c r="D394" s="71"/>
      <c r="E394" s="72"/>
      <c r="F394" s="73">
        <f>Source!AM328</f>
        <v>305.45</v>
      </c>
      <c r="G394" s="74" t="str">
        <f>Source!DE328</f>
        <v/>
      </c>
      <c r="H394" s="73">
        <f>ROUND((((Source!ET328)-(Source!EU328))+Source!AE328)*Source!I328, 2)</f>
        <v>88.95</v>
      </c>
      <c r="I394" s="74"/>
      <c r="J394" s="74">
        <f>IF(Source!BB328&lt;&gt; 0, Source!BB328, 1)</f>
        <v>12.7</v>
      </c>
      <c r="K394" s="73">
        <f>Source!Q328</f>
        <v>1129.6300000000001</v>
      </c>
      <c r="L394" s="75"/>
    </row>
    <row r="395" spans="1:28" ht="14.25" x14ac:dyDescent="0.2">
      <c r="A395" s="16"/>
      <c r="B395" s="17"/>
      <c r="C395" s="17" t="s">
        <v>1212</v>
      </c>
      <c r="D395" s="71"/>
      <c r="E395" s="72"/>
      <c r="F395" s="73">
        <f>Source!AN328</f>
        <v>20.11</v>
      </c>
      <c r="G395" s="74" t="str">
        <f>Source!DF328</f>
        <v/>
      </c>
      <c r="H395" s="73">
        <f>ROUND(Source!AE328*Source!I328, 2)</f>
        <v>5.86</v>
      </c>
      <c r="I395" s="74"/>
      <c r="J395" s="74">
        <f>IF(Source!BS328&lt;&gt; 0, Source!BS328, 1)</f>
        <v>35.270000000000003</v>
      </c>
      <c r="K395" s="73">
        <f>Source!R328</f>
        <v>206.54</v>
      </c>
      <c r="L395" s="75"/>
      <c r="R395" s="52">
        <f>H395</f>
        <v>5.86</v>
      </c>
    </row>
    <row r="396" spans="1:28" ht="14.25" x14ac:dyDescent="0.2">
      <c r="A396" s="16"/>
      <c r="B396" s="17"/>
      <c r="C396" s="17" t="s">
        <v>1213</v>
      </c>
      <c r="D396" s="71"/>
      <c r="E396" s="72"/>
      <c r="F396" s="73">
        <f>Source!AL328</f>
        <v>84.76</v>
      </c>
      <c r="G396" s="74" t="str">
        <f>Source!DD328</f>
        <v/>
      </c>
      <c r="H396" s="73">
        <f>ROUND(Source!AC328*Source!I328, 2)</f>
        <v>24.68</v>
      </c>
      <c r="I396" s="74"/>
      <c r="J396" s="74">
        <f>IF(Source!BC328&lt;&gt; 0, Source!BC328, 1)</f>
        <v>15.04</v>
      </c>
      <c r="K396" s="73">
        <f>Source!P328</f>
        <v>371.22</v>
      </c>
      <c r="L396" s="75"/>
    </row>
    <row r="397" spans="1:28" ht="14.25" x14ac:dyDescent="0.2">
      <c r="A397" s="16"/>
      <c r="B397" s="17"/>
      <c r="C397" s="17" t="s">
        <v>1207</v>
      </c>
      <c r="D397" s="71" t="s">
        <v>1208</v>
      </c>
      <c r="E397" s="72">
        <f>Source!BZ328</f>
        <v>93</v>
      </c>
      <c r="F397" s="76"/>
      <c r="G397" s="74"/>
      <c r="H397" s="73">
        <f>SUM(S392:S400)</f>
        <v>40.380000000000003</v>
      </c>
      <c r="I397" s="77"/>
      <c r="J397" s="17">
        <f>Source!AT328</f>
        <v>93</v>
      </c>
      <c r="K397" s="73">
        <f>SUM(T392:T400)</f>
        <v>1424.25</v>
      </c>
      <c r="L397" s="75"/>
    </row>
    <row r="398" spans="1:28" ht="14.25" x14ac:dyDescent="0.2">
      <c r="A398" s="16"/>
      <c r="B398" s="17"/>
      <c r="C398" s="17" t="s">
        <v>1209</v>
      </c>
      <c r="D398" s="71" t="s">
        <v>1208</v>
      </c>
      <c r="E398" s="72">
        <f>Source!CA328</f>
        <v>62</v>
      </c>
      <c r="F398" s="76"/>
      <c r="G398" s="74"/>
      <c r="H398" s="73">
        <f>SUM(U392:U400)</f>
        <v>26.92</v>
      </c>
      <c r="I398" s="77"/>
      <c r="J398" s="17">
        <f>Source!AU328</f>
        <v>62</v>
      </c>
      <c r="K398" s="73">
        <f>SUM(V392:V400)</f>
        <v>949.5</v>
      </c>
      <c r="L398" s="75"/>
    </row>
    <row r="399" spans="1:28" ht="14.25" x14ac:dyDescent="0.2">
      <c r="A399" s="16"/>
      <c r="B399" s="17"/>
      <c r="C399" s="17" t="s">
        <v>1210</v>
      </c>
      <c r="D399" s="71" t="s">
        <v>1211</v>
      </c>
      <c r="E399" s="72">
        <f>Source!AQ328</f>
        <v>15.79</v>
      </c>
      <c r="F399" s="73"/>
      <c r="G399" s="74" t="str">
        <f>Source!DI328</f>
        <v/>
      </c>
      <c r="H399" s="73"/>
      <c r="I399" s="74"/>
      <c r="J399" s="74"/>
      <c r="K399" s="73"/>
      <c r="L399" s="89">
        <f>Source!U328</f>
        <v>4.5980480000000004</v>
      </c>
    </row>
    <row r="400" spans="1:28" ht="14.25" x14ac:dyDescent="0.2">
      <c r="A400" s="90" t="str">
        <f>Source!E329</f>
        <v>46,1</v>
      </c>
      <c r="B400" s="90" t="str">
        <f>Source!F329</f>
        <v>201-9002</v>
      </c>
      <c r="C400" s="90" t="str">
        <f>Source!G329</f>
        <v>Конструкции стальные</v>
      </c>
      <c r="D400" s="91" t="str">
        <f>Source!H329</f>
        <v>т</v>
      </c>
      <c r="E400" s="92">
        <f>Source!I329</f>
        <v>0.29120000000000001</v>
      </c>
      <c r="F400" s="93">
        <f>Source!AK329</f>
        <v>0</v>
      </c>
      <c r="G400" s="94" t="s">
        <v>3</v>
      </c>
      <c r="H400" s="93">
        <f>ROUND(Source!AC329*Source!I329, 2)+ROUND((((Source!ET329)-(Source!EU329))+Source!AE329)*Source!I329, 2)+ROUND(Source!AF329*Source!I329, 2)</f>
        <v>0</v>
      </c>
      <c r="I400" s="91"/>
      <c r="J400" s="91">
        <f>IF(Source!BC329&lt;&gt; 0, Source!BC329, 1)</f>
        <v>1</v>
      </c>
      <c r="K400" s="93">
        <f>Source!O329</f>
        <v>0</v>
      </c>
      <c r="L400" s="93"/>
      <c r="S400" s="52">
        <f>ROUND((Source!FX329/100)*((ROUND(Source!AF329*Source!I329, 2)+ROUND(Source!AE329*Source!I329, 2))), 2)</f>
        <v>0</v>
      </c>
      <c r="T400" s="52">
        <f>Source!X329</f>
        <v>0</v>
      </c>
      <c r="U400" s="52">
        <f>ROUND((Source!FY329/100)*((ROUND(Source!AF329*Source!I329, 2)+ROUND(Source!AE329*Source!I329, 2))), 2)</f>
        <v>0</v>
      </c>
      <c r="V400" s="52">
        <f>Source!Y329</f>
        <v>0</v>
      </c>
      <c r="Y400" s="52">
        <f>IF(Source!BI329=3,H400, 0)</f>
        <v>0</v>
      </c>
      <c r="AA400" s="52">
        <f>ROUND(Source!AC329*Source!I329, 2)+ROUND((((Source!ET329)-(Source!EU329))+Source!AE329)*Source!I329, 2)+ROUND(Source!AF329*Source!I329, 2)</f>
        <v>0</v>
      </c>
      <c r="AB400" s="52">
        <f>Source!O329</f>
        <v>0</v>
      </c>
    </row>
    <row r="401" spans="1:26" ht="15" x14ac:dyDescent="0.2">
      <c r="G401" s="83">
        <f>ROUND(Source!AC328*Source!I328, 2)+ROUND(Source!AF328*Source!I328, 2)+ROUND((((Source!ET328)-(Source!EU328))+Source!AE328)*Source!I328, 2)+SUM(H397:H398)+SUM(AA400:AA400)</f>
        <v>218.49</v>
      </c>
      <c r="H401" s="83"/>
      <c r="J401" s="83">
        <f>Source!O328+SUM(K397:K398)+SUM(AB400:AB400)</f>
        <v>5199.51</v>
      </c>
      <c r="K401" s="83"/>
      <c r="L401" s="84">
        <f>Source!U328</f>
        <v>4.5980480000000004</v>
      </c>
      <c r="O401" s="85">
        <f>G401</f>
        <v>218.49</v>
      </c>
      <c r="P401" s="85">
        <f>J401</f>
        <v>5199.51</v>
      </c>
      <c r="Q401" s="85">
        <f>L401</f>
        <v>4.5980480000000004</v>
      </c>
      <c r="W401" s="52">
        <f>IF(Source!BI328&lt;=1,G401, 0)</f>
        <v>218.49</v>
      </c>
      <c r="X401" s="52">
        <f>IF(Source!BI328=2,G401, 0)</f>
        <v>0</v>
      </c>
      <c r="Y401" s="52">
        <f>IF(Source!BI328=3,G401, 0)</f>
        <v>0</v>
      </c>
      <c r="Z401" s="52">
        <f>IF(Source!BI328=4,G401, 0)</f>
        <v>0</v>
      </c>
    </row>
    <row r="402" spans="1:26" ht="14.25" x14ac:dyDescent="0.2">
      <c r="A402" s="16" t="str">
        <f>Source!E330</f>
        <v>47</v>
      </c>
      <c r="B402" s="17" t="str">
        <f>Source!F330</f>
        <v>101-3686</v>
      </c>
      <c r="C402" s="17" t="str">
        <f>Source!G330</f>
        <v>Швеллеры № 12 сталь марки Ст3пс</v>
      </c>
      <c r="D402" s="71" t="str">
        <f>Source!H330</f>
        <v>т</v>
      </c>
      <c r="E402" s="72">
        <f>Source!I330</f>
        <v>0.29120000000000001</v>
      </c>
      <c r="F402" s="73">
        <f>IF(Source!AK330&lt;&gt; 0, Source!AK330,Source!AL330 + Source!AM330 + Source!AO330)</f>
        <v>4973.5</v>
      </c>
      <c r="G402" s="74"/>
      <c r="H402" s="73"/>
      <c r="I402" s="74" t="str">
        <f>Source!BO330</f>
        <v>101-3686</v>
      </c>
      <c r="J402" s="74"/>
      <c r="K402" s="73"/>
      <c r="L402" s="75"/>
      <c r="S402" s="52">
        <f>ROUND((Source!FX330/100)*((ROUND(Source!AF330*Source!I330, 2)+ROUND(Source!AE330*Source!I330, 2))), 2)</f>
        <v>0</v>
      </c>
      <c r="T402" s="52">
        <f>Source!X330</f>
        <v>0</v>
      </c>
      <c r="U402" s="52">
        <f>ROUND((Source!FY330/100)*((ROUND(Source!AF330*Source!I330, 2)+ROUND(Source!AE330*Source!I330, 2))), 2)</f>
        <v>0</v>
      </c>
      <c r="V402" s="52">
        <f>Source!Y330</f>
        <v>0</v>
      </c>
    </row>
    <row r="403" spans="1:26" x14ac:dyDescent="0.2">
      <c r="C403" s="18" t="str">
        <f>"Объем: "&amp;Source!I330&amp;"=28*"&amp;"10,4/"&amp;"1000"</f>
        <v>Объем: 0,2912=28*10,4/1000</v>
      </c>
    </row>
    <row r="404" spans="1:26" ht="14.25" x14ac:dyDescent="0.2">
      <c r="A404" s="20"/>
      <c r="B404" s="21"/>
      <c r="C404" s="21" t="s">
        <v>1213</v>
      </c>
      <c r="D404" s="78"/>
      <c r="E404" s="79"/>
      <c r="F404" s="80">
        <f>Source!AL330</f>
        <v>4973.5</v>
      </c>
      <c r="G404" s="81" t="str">
        <f>Source!DD330</f>
        <v/>
      </c>
      <c r="H404" s="80">
        <f>ROUND(Source!AC330*Source!I330, 2)</f>
        <v>1448.28</v>
      </c>
      <c r="I404" s="81"/>
      <c r="J404" s="81">
        <f>IF(Source!BC330&lt;&gt; 0, Source!BC330, 1)</f>
        <v>14</v>
      </c>
      <c r="K404" s="80">
        <f>Source!P330</f>
        <v>20275.96</v>
      </c>
      <c r="L404" s="100"/>
    </row>
    <row r="405" spans="1:26" ht="15" x14ac:dyDescent="0.2">
      <c r="G405" s="83">
        <f>ROUND(Source!AC330*Source!I330, 2)+ROUND(Source!AF330*Source!I330, 2)+ROUND((((Source!ET330)-(Source!EU330))+Source!AE330)*Source!I330, 2)</f>
        <v>1448.28</v>
      </c>
      <c r="H405" s="83"/>
      <c r="J405" s="83">
        <f>Source!O330</f>
        <v>20275.96</v>
      </c>
      <c r="K405" s="83"/>
      <c r="L405" s="84">
        <f>Source!U330</f>
        <v>0</v>
      </c>
      <c r="O405" s="85">
        <f>G405</f>
        <v>1448.28</v>
      </c>
      <c r="P405" s="85">
        <f>J405</f>
        <v>20275.96</v>
      </c>
      <c r="Q405" s="85">
        <f>L405</f>
        <v>0</v>
      </c>
      <c r="W405" s="52">
        <f>IF(Source!BI330&lt;=1,G405, 0)</f>
        <v>1448.28</v>
      </c>
      <c r="X405" s="52">
        <f>IF(Source!BI330=2,G405, 0)</f>
        <v>0</v>
      </c>
      <c r="Y405" s="52">
        <f>IF(Source!BI330=3,G405, 0)</f>
        <v>0</v>
      </c>
      <c r="Z405" s="52">
        <f>IF(Source!BI330=4,G405, 0)</f>
        <v>0</v>
      </c>
    </row>
    <row r="406" spans="1:26" ht="42.75" x14ac:dyDescent="0.2">
      <c r="A406" s="16" t="str">
        <f>Source!E331</f>
        <v>48</v>
      </c>
      <c r="B406" s="17" t="str">
        <f>Source!F331</f>
        <v>09-04-002-1</v>
      </c>
      <c r="C406" s="17" t="str">
        <f>Source!G331</f>
        <v>Монтаж кровельного покрытия из профилированного листа при высоте здания до 25 м</v>
      </c>
      <c r="D406" s="71" t="str">
        <f>Source!H331</f>
        <v>100 м2 покрытия</v>
      </c>
      <c r="E406" s="72">
        <f>Source!I331</f>
        <v>0.24</v>
      </c>
      <c r="F406" s="73">
        <f>IF(Source!AK331&lt;&gt; 0, Source!AK331,Source!AL331 + Source!AM331 + Source!AO331)</f>
        <v>959.83</v>
      </c>
      <c r="G406" s="74"/>
      <c r="H406" s="73"/>
      <c r="I406" s="74" t="str">
        <f>Source!BO331</f>
        <v>09-04-002-1</v>
      </c>
      <c r="J406" s="74"/>
      <c r="K406" s="73"/>
      <c r="L406" s="75"/>
      <c r="S406" s="52">
        <f>ROUND((Source!FX331/100)*((ROUND(Source!AF331*Source!I331, 2)+ROUND(Source!AE331*Source!I331, 2))), 2)</f>
        <v>72.22</v>
      </c>
      <c r="T406" s="52">
        <f>Source!X331</f>
        <v>2547.31</v>
      </c>
      <c r="U406" s="52">
        <f>ROUND((Source!FY331/100)*((ROUND(Source!AF331*Source!I331, 2)+ROUND(Source!AE331*Source!I331, 2))), 2)</f>
        <v>48.15</v>
      </c>
      <c r="V406" s="52">
        <f>Source!Y331</f>
        <v>1698.2</v>
      </c>
    </row>
    <row r="407" spans="1:26" x14ac:dyDescent="0.2">
      <c r="C407" s="18" t="str">
        <f>"Объем: "&amp;Source!I331&amp;"=24/"&amp;"100"</f>
        <v>Объем: 0,24=24/100</v>
      </c>
    </row>
    <row r="408" spans="1:26" ht="14.25" x14ac:dyDescent="0.2">
      <c r="A408" s="16"/>
      <c r="B408" s="17"/>
      <c r="C408" s="17" t="s">
        <v>1206</v>
      </c>
      <c r="D408" s="71"/>
      <c r="E408" s="72"/>
      <c r="F408" s="73">
        <f>Source!AO331</f>
        <v>290.04000000000002</v>
      </c>
      <c r="G408" s="74" t="str">
        <f>Source!DG331</f>
        <v/>
      </c>
      <c r="H408" s="73">
        <f>ROUND(Source!AF331*Source!I331, 2)</f>
        <v>69.61</v>
      </c>
      <c r="I408" s="74"/>
      <c r="J408" s="74">
        <f>IF(Source!BA331&lt;&gt; 0, Source!BA331, 1)</f>
        <v>35.270000000000003</v>
      </c>
      <c r="K408" s="73">
        <f>Source!S331</f>
        <v>2455.13</v>
      </c>
      <c r="L408" s="75"/>
      <c r="R408" s="52">
        <f>H408</f>
        <v>69.61</v>
      </c>
    </row>
    <row r="409" spans="1:26" ht="14.25" x14ac:dyDescent="0.2">
      <c r="A409" s="16"/>
      <c r="B409" s="17"/>
      <c r="C409" s="17" t="s">
        <v>103</v>
      </c>
      <c r="D409" s="71"/>
      <c r="E409" s="72"/>
      <c r="F409" s="73">
        <f>Source!AM331</f>
        <v>515.16999999999996</v>
      </c>
      <c r="G409" s="74" t="str">
        <f>Source!DE331</f>
        <v/>
      </c>
      <c r="H409" s="73">
        <f>ROUND((((Source!ET331)-(Source!EU331))+Source!AE331)*Source!I331, 2)</f>
        <v>123.64</v>
      </c>
      <c r="I409" s="74"/>
      <c r="J409" s="74">
        <f>IF(Source!BB331&lt;&gt; 0, Source!BB331, 1)</f>
        <v>12.67</v>
      </c>
      <c r="K409" s="73">
        <f>Source!Q331</f>
        <v>1566.53</v>
      </c>
      <c r="L409" s="75"/>
    </row>
    <row r="410" spans="1:26" ht="14.25" x14ac:dyDescent="0.2">
      <c r="A410" s="16"/>
      <c r="B410" s="17"/>
      <c r="C410" s="17" t="s">
        <v>1212</v>
      </c>
      <c r="D410" s="71"/>
      <c r="E410" s="72"/>
      <c r="F410" s="73">
        <f>Source!AN331</f>
        <v>33.54</v>
      </c>
      <c r="G410" s="74" t="str">
        <f>Source!DF331</f>
        <v/>
      </c>
      <c r="H410" s="73">
        <f>ROUND(Source!AE331*Source!I331, 2)</f>
        <v>8.0500000000000007</v>
      </c>
      <c r="I410" s="74"/>
      <c r="J410" s="74">
        <f>IF(Source!BS331&lt;&gt; 0, Source!BS331, 1)</f>
        <v>35.270000000000003</v>
      </c>
      <c r="K410" s="73">
        <f>Source!R331</f>
        <v>283.91000000000003</v>
      </c>
      <c r="L410" s="75"/>
      <c r="R410" s="52">
        <f>H410</f>
        <v>8.0500000000000007</v>
      </c>
    </row>
    <row r="411" spans="1:26" ht="14.25" x14ac:dyDescent="0.2">
      <c r="A411" s="16"/>
      <c r="B411" s="17"/>
      <c r="C411" s="17" t="s">
        <v>1213</v>
      </c>
      <c r="D411" s="71"/>
      <c r="E411" s="72"/>
      <c r="F411" s="73">
        <f>Source!AL331</f>
        <v>154.62</v>
      </c>
      <c r="G411" s="74" t="str">
        <f>Source!DD331</f>
        <v/>
      </c>
      <c r="H411" s="73">
        <f>ROUND(Source!AC331*Source!I331, 2)</f>
        <v>37.11</v>
      </c>
      <c r="I411" s="74"/>
      <c r="J411" s="74">
        <f>IF(Source!BC331&lt;&gt; 0, Source!BC331, 1)</f>
        <v>15.24</v>
      </c>
      <c r="K411" s="73">
        <f>Source!P331</f>
        <v>565.54</v>
      </c>
      <c r="L411" s="75"/>
    </row>
    <row r="412" spans="1:26" ht="14.25" x14ac:dyDescent="0.2">
      <c r="A412" s="16"/>
      <c r="B412" s="17"/>
      <c r="C412" s="17" t="s">
        <v>1207</v>
      </c>
      <c r="D412" s="71" t="s">
        <v>1208</v>
      </c>
      <c r="E412" s="72">
        <f>Source!BZ331</f>
        <v>93</v>
      </c>
      <c r="F412" s="76"/>
      <c r="G412" s="74"/>
      <c r="H412" s="73">
        <f>SUM(S406:S414)</f>
        <v>72.22</v>
      </c>
      <c r="I412" s="77"/>
      <c r="J412" s="17">
        <f>Source!AT331</f>
        <v>93</v>
      </c>
      <c r="K412" s="73">
        <f>SUM(T406:T414)</f>
        <v>2547.31</v>
      </c>
      <c r="L412" s="75"/>
    </row>
    <row r="413" spans="1:26" ht="14.25" x14ac:dyDescent="0.2">
      <c r="A413" s="16"/>
      <c r="B413" s="17"/>
      <c r="C413" s="17" t="s">
        <v>1209</v>
      </c>
      <c r="D413" s="71" t="s">
        <v>1208</v>
      </c>
      <c r="E413" s="72">
        <f>Source!CA331</f>
        <v>62</v>
      </c>
      <c r="F413" s="76"/>
      <c r="G413" s="74"/>
      <c r="H413" s="73">
        <f>SUM(U406:U414)</f>
        <v>48.15</v>
      </c>
      <c r="I413" s="77"/>
      <c r="J413" s="17">
        <f>Source!AU331</f>
        <v>62</v>
      </c>
      <c r="K413" s="73">
        <f>SUM(V406:V414)</f>
        <v>1698.2</v>
      </c>
      <c r="L413" s="75"/>
    </row>
    <row r="414" spans="1:26" ht="14.25" x14ac:dyDescent="0.2">
      <c r="A414" s="20"/>
      <c r="B414" s="21"/>
      <c r="C414" s="21" t="s">
        <v>1210</v>
      </c>
      <c r="D414" s="78" t="s">
        <v>1211</v>
      </c>
      <c r="E414" s="79">
        <f>Source!AQ331</f>
        <v>35.5</v>
      </c>
      <c r="F414" s="80"/>
      <c r="G414" s="81" t="str">
        <f>Source!DI331</f>
        <v/>
      </c>
      <c r="H414" s="80"/>
      <c r="I414" s="81"/>
      <c r="J414" s="81"/>
      <c r="K414" s="80"/>
      <c r="L414" s="82">
        <f>Source!U331</f>
        <v>8.52</v>
      </c>
    </row>
    <row r="415" spans="1:26" ht="15" x14ac:dyDescent="0.2">
      <c r="G415" s="83">
        <f>ROUND(Source!AC331*Source!I331, 2)+ROUND(Source!AF331*Source!I331, 2)+ROUND((((Source!ET331)-(Source!EU331))+Source!AE331)*Source!I331, 2)+SUM(H412:H413)</f>
        <v>350.73</v>
      </c>
      <c r="H415" s="83"/>
      <c r="J415" s="83">
        <f>Source!O331+SUM(K412:K413)</f>
        <v>8832.7099999999991</v>
      </c>
      <c r="K415" s="83"/>
      <c r="L415" s="84">
        <f>Source!U331</f>
        <v>8.52</v>
      </c>
      <c r="O415" s="85">
        <f>G415</f>
        <v>350.73</v>
      </c>
      <c r="P415" s="85">
        <f>J415</f>
        <v>8832.7099999999991</v>
      </c>
      <c r="Q415" s="85">
        <f>L415</f>
        <v>8.52</v>
      </c>
      <c r="W415" s="52">
        <f>IF(Source!BI331&lt;=1,G415, 0)</f>
        <v>350.73</v>
      </c>
      <c r="X415" s="52">
        <f>IF(Source!BI331=2,G415, 0)</f>
        <v>0</v>
      </c>
      <c r="Y415" s="52">
        <f>IF(Source!BI331=3,G415, 0)</f>
        <v>0</v>
      </c>
      <c r="Z415" s="52">
        <f>IF(Source!BI331=4,G415, 0)</f>
        <v>0</v>
      </c>
    </row>
    <row r="416" spans="1:26" ht="28.5" x14ac:dyDescent="0.2">
      <c r="A416" s="16" t="str">
        <f>Source!E334</f>
        <v>49</v>
      </c>
      <c r="B416" s="17" t="str">
        <f>Source!F334</f>
        <v>101-4652</v>
      </c>
      <c r="C416" s="17" t="str">
        <f>Source!G334</f>
        <v>Шурупы-саморезы кровельные оцинкованные 5,5х38 мм</v>
      </c>
      <c r="D416" s="71" t="str">
        <f>Source!H334</f>
        <v>10 шт.</v>
      </c>
      <c r="E416" s="72">
        <f>Source!I334</f>
        <v>20</v>
      </c>
      <c r="F416" s="73">
        <f>IF(Source!AK334&lt;&gt; 0, Source!AK334,Source!AL334 + Source!AM334 + Source!AO334)</f>
        <v>4.16</v>
      </c>
      <c r="G416" s="74"/>
      <c r="H416" s="73"/>
      <c r="I416" s="74" t="str">
        <f>Source!BO334</f>
        <v>101-4652</v>
      </c>
      <c r="J416" s="74"/>
      <c r="K416" s="73"/>
      <c r="L416" s="75"/>
      <c r="S416" s="52">
        <f>ROUND((Source!FX334/100)*((ROUND(Source!AF334*Source!I334, 2)+ROUND(Source!AE334*Source!I334, 2))), 2)</f>
        <v>0</v>
      </c>
      <c r="T416" s="52">
        <f>Source!X334</f>
        <v>0</v>
      </c>
      <c r="U416" s="52">
        <f>ROUND((Source!FY334/100)*((ROUND(Source!AF334*Source!I334, 2)+ROUND(Source!AE334*Source!I334, 2))), 2)</f>
        <v>0</v>
      </c>
      <c r="V416" s="52">
        <f>Source!Y334</f>
        <v>0</v>
      </c>
    </row>
    <row r="417" spans="1:28" x14ac:dyDescent="0.2">
      <c r="C417" s="18" t="str">
        <f>"Объем: "&amp;Source!I334&amp;"=200/"&amp;"10"</f>
        <v>Объем: 20=200/10</v>
      </c>
    </row>
    <row r="418" spans="1:28" ht="14.25" x14ac:dyDescent="0.2">
      <c r="A418" s="20"/>
      <c r="B418" s="21"/>
      <c r="C418" s="21" t="s">
        <v>1213</v>
      </c>
      <c r="D418" s="78"/>
      <c r="E418" s="79"/>
      <c r="F418" s="80">
        <f>Source!AL334</f>
        <v>4.16</v>
      </c>
      <c r="G418" s="81" t="str">
        <f>Source!DD334</f>
        <v/>
      </c>
      <c r="H418" s="80">
        <f>ROUND(Source!AC334*Source!I334, 2)</f>
        <v>83.2</v>
      </c>
      <c r="I418" s="81"/>
      <c r="J418" s="81">
        <f>IF(Source!BC334&lt;&gt; 0, Source!BC334, 1)</f>
        <v>6.43</v>
      </c>
      <c r="K418" s="80">
        <f>Source!P334</f>
        <v>534.98</v>
      </c>
      <c r="L418" s="100"/>
    </row>
    <row r="419" spans="1:28" ht="15" x14ac:dyDescent="0.2">
      <c r="G419" s="83">
        <f>ROUND(Source!AC334*Source!I334, 2)+ROUND(Source!AF334*Source!I334, 2)+ROUND((((Source!ET334)-(Source!EU334))+Source!AE334)*Source!I334, 2)</f>
        <v>83.2</v>
      </c>
      <c r="H419" s="83"/>
      <c r="J419" s="83">
        <f>Source!O334</f>
        <v>534.98</v>
      </c>
      <c r="K419" s="83"/>
      <c r="L419" s="84">
        <f>Source!U334</f>
        <v>0</v>
      </c>
      <c r="O419" s="85">
        <f>G419</f>
        <v>83.2</v>
      </c>
      <c r="P419" s="85">
        <f>J419</f>
        <v>534.98</v>
      </c>
      <c r="Q419" s="85">
        <f>L419</f>
        <v>0</v>
      </c>
      <c r="W419" s="52">
        <f>IF(Source!BI334&lt;=1,G419, 0)</f>
        <v>83.2</v>
      </c>
      <c r="X419" s="52">
        <f>IF(Source!BI334=2,G419, 0)</f>
        <v>0</v>
      </c>
      <c r="Y419" s="52">
        <f>IF(Source!BI334=3,G419, 0)</f>
        <v>0</v>
      </c>
      <c r="Z419" s="52">
        <f>IF(Source!BI334=4,G419, 0)</f>
        <v>0</v>
      </c>
    </row>
    <row r="420" spans="1:28" ht="28.5" x14ac:dyDescent="0.2">
      <c r="A420" s="16" t="str">
        <f>Source!E335</f>
        <v>50</v>
      </c>
      <c r="B420" s="17" t="str">
        <f>Source!F335</f>
        <v>101-5213</v>
      </c>
      <c r="C420" s="17" t="str">
        <f>Source!G335</f>
        <v>Профилированный настил оцинкованный С8-1150-0,55</v>
      </c>
      <c r="D420" s="71" t="str">
        <f>Source!H335</f>
        <v>т</v>
      </c>
      <c r="E420" s="72">
        <f>Source!I335</f>
        <v>0.11328000000000001</v>
      </c>
      <c r="F420" s="73">
        <f>IF(Source!AK335&lt;&gt; 0, Source!AK335,Source!AL335 + Source!AM335 + Source!AO335)</f>
        <v>11775.78</v>
      </c>
      <c r="G420" s="74"/>
      <c r="H420" s="73"/>
      <c r="I420" s="74" t="str">
        <f>Source!BO335</f>
        <v>101-5213</v>
      </c>
      <c r="J420" s="74"/>
      <c r="K420" s="73"/>
      <c r="L420" s="75"/>
      <c r="S420" s="52">
        <f>ROUND((Source!FX335/100)*((ROUND(Source!AF335*Source!I335, 2)+ROUND(Source!AE335*Source!I335, 2))), 2)</f>
        <v>0</v>
      </c>
      <c r="T420" s="52">
        <f>Source!X335</f>
        <v>0</v>
      </c>
      <c r="U420" s="52">
        <f>ROUND((Source!FY335/100)*((ROUND(Source!AF335*Source!I335, 2)+ROUND(Source!AE335*Source!I335, 2))), 2)</f>
        <v>0</v>
      </c>
      <c r="V420" s="52">
        <f>Source!Y335</f>
        <v>0</v>
      </c>
    </row>
    <row r="421" spans="1:28" ht="14.25" x14ac:dyDescent="0.2">
      <c r="A421" s="20"/>
      <c r="B421" s="21"/>
      <c r="C421" s="21" t="s">
        <v>1213</v>
      </c>
      <c r="D421" s="78"/>
      <c r="E421" s="79"/>
      <c r="F421" s="80">
        <f>Source!AL335</f>
        <v>11775.78</v>
      </c>
      <c r="G421" s="81" t="str">
        <f>Source!DD335</f>
        <v/>
      </c>
      <c r="H421" s="80">
        <f>ROUND(Source!AC335*Source!I335, 2)</f>
        <v>1333.96</v>
      </c>
      <c r="I421" s="81"/>
      <c r="J421" s="81">
        <f>IF(Source!BC335&lt;&gt; 0, Source!BC335, 1)</f>
        <v>11.83</v>
      </c>
      <c r="K421" s="80">
        <f>Source!P335</f>
        <v>15780.75</v>
      </c>
      <c r="L421" s="100"/>
    </row>
    <row r="422" spans="1:28" ht="15" x14ac:dyDescent="0.2">
      <c r="G422" s="83">
        <f>ROUND(Source!AC335*Source!I335, 2)+ROUND(Source!AF335*Source!I335, 2)+ROUND((((Source!ET335)-(Source!EU335))+Source!AE335)*Source!I335, 2)</f>
        <v>1333.96</v>
      </c>
      <c r="H422" s="83"/>
      <c r="J422" s="83">
        <f>Source!O335</f>
        <v>15780.75</v>
      </c>
      <c r="K422" s="83"/>
      <c r="L422" s="84">
        <f>Source!U335</f>
        <v>0</v>
      </c>
      <c r="O422" s="85">
        <f>G422</f>
        <v>1333.96</v>
      </c>
      <c r="P422" s="85">
        <f>J422</f>
        <v>15780.75</v>
      </c>
      <c r="Q422" s="85">
        <f>L422</f>
        <v>0</v>
      </c>
      <c r="W422" s="52">
        <f>IF(Source!BI335&lt;=1,G422, 0)</f>
        <v>1333.96</v>
      </c>
      <c r="X422" s="52">
        <f>IF(Source!BI335=2,G422, 0)</f>
        <v>0</v>
      </c>
      <c r="Y422" s="52">
        <f>IF(Source!BI335=3,G422, 0)</f>
        <v>0</v>
      </c>
      <c r="Z422" s="52">
        <f>IF(Source!BI335=4,G422, 0)</f>
        <v>0</v>
      </c>
    </row>
    <row r="423" spans="1:28" ht="28.5" x14ac:dyDescent="0.2">
      <c r="A423" s="16" t="str">
        <f>Source!E336</f>
        <v>51</v>
      </c>
      <c r="B423" s="17" t="str">
        <f>Source!F336</f>
        <v>09-05-003-1</v>
      </c>
      <c r="C423" s="17" t="str">
        <f>Source!G336</f>
        <v>Постановка болтов строительных с гайками и шайбами</v>
      </c>
      <c r="D423" s="71" t="str">
        <f>Source!H336</f>
        <v>100 шт. болтов</v>
      </c>
      <c r="E423" s="72">
        <f>Source!I336</f>
        <v>0.6</v>
      </c>
      <c r="F423" s="73">
        <f>IF(Source!AK336&lt;&gt; 0, Source!AK336,Source!AL336 + Source!AM336 + Source!AO336)</f>
        <v>103.66</v>
      </c>
      <c r="G423" s="74"/>
      <c r="H423" s="73"/>
      <c r="I423" s="74" t="str">
        <f>Source!BO336</f>
        <v>09-05-003-1</v>
      </c>
      <c r="J423" s="74"/>
      <c r="K423" s="73"/>
      <c r="L423" s="75"/>
      <c r="S423" s="52">
        <f>ROUND((Source!FX336/100)*((ROUND(Source!AF336*Source!I336, 2)+ROUND(Source!AE336*Source!I336, 2))), 2)</f>
        <v>56.31</v>
      </c>
      <c r="T423" s="52">
        <f>Source!X336</f>
        <v>1985.98</v>
      </c>
      <c r="U423" s="52">
        <f>ROUND((Source!FY336/100)*((ROUND(Source!AF336*Source!I336, 2)+ROUND(Source!AE336*Source!I336, 2))), 2)</f>
        <v>37.54</v>
      </c>
      <c r="V423" s="52">
        <f>Source!Y336</f>
        <v>1323.99</v>
      </c>
    </row>
    <row r="424" spans="1:28" x14ac:dyDescent="0.2">
      <c r="C424" s="18" t="str">
        <f>"Объем: "&amp;Source!I336&amp;"=60/"&amp;"100"</f>
        <v>Объем: 0,6=60/100</v>
      </c>
    </row>
    <row r="425" spans="1:28" ht="14.25" x14ac:dyDescent="0.2">
      <c r="A425" s="16"/>
      <c r="B425" s="17"/>
      <c r="C425" s="17" t="s">
        <v>1206</v>
      </c>
      <c r="D425" s="71"/>
      <c r="E425" s="72"/>
      <c r="F425" s="73">
        <f>Source!AO336</f>
        <v>100.91</v>
      </c>
      <c r="G425" s="74" t="str">
        <f>Source!DG336</f>
        <v/>
      </c>
      <c r="H425" s="73">
        <f>ROUND(Source!AF336*Source!I336, 2)</f>
        <v>60.55</v>
      </c>
      <c r="I425" s="74"/>
      <c r="J425" s="74">
        <f>IF(Source!BA336&lt;&gt; 0, Source!BA336, 1)</f>
        <v>35.270000000000003</v>
      </c>
      <c r="K425" s="73">
        <f>Source!S336</f>
        <v>2135.46</v>
      </c>
      <c r="L425" s="75"/>
      <c r="R425" s="52">
        <f>H425</f>
        <v>60.55</v>
      </c>
    </row>
    <row r="426" spans="1:28" ht="14.25" x14ac:dyDescent="0.2">
      <c r="A426" s="16"/>
      <c r="B426" s="17"/>
      <c r="C426" s="17" t="s">
        <v>103</v>
      </c>
      <c r="D426" s="71"/>
      <c r="E426" s="72"/>
      <c r="F426" s="73">
        <f>Source!AM336</f>
        <v>2.75</v>
      </c>
      <c r="G426" s="74" t="str">
        <f>Source!DE336</f>
        <v/>
      </c>
      <c r="H426" s="73">
        <f>ROUND((((Source!ET336)-(Source!EU336))+Source!AE336)*Source!I336, 2)</f>
        <v>1.65</v>
      </c>
      <c r="I426" s="74"/>
      <c r="J426" s="74">
        <f>IF(Source!BB336&lt;&gt; 0, Source!BB336, 1)</f>
        <v>14.24</v>
      </c>
      <c r="K426" s="73">
        <f>Source!Q336</f>
        <v>23.5</v>
      </c>
      <c r="L426" s="75"/>
    </row>
    <row r="427" spans="1:28" ht="14.25" x14ac:dyDescent="0.2">
      <c r="A427" s="16"/>
      <c r="B427" s="17"/>
      <c r="C427" s="17" t="s">
        <v>1207</v>
      </c>
      <c r="D427" s="71" t="s">
        <v>1208</v>
      </c>
      <c r="E427" s="72">
        <f>Source!BZ336</f>
        <v>93</v>
      </c>
      <c r="F427" s="76"/>
      <c r="G427" s="74"/>
      <c r="H427" s="73">
        <f>SUM(S423:S430)</f>
        <v>56.31</v>
      </c>
      <c r="I427" s="77"/>
      <c r="J427" s="17">
        <f>Source!AT336</f>
        <v>93</v>
      </c>
      <c r="K427" s="73">
        <f>SUM(T423:T430)</f>
        <v>1985.98</v>
      </c>
      <c r="L427" s="75"/>
    </row>
    <row r="428" spans="1:28" ht="14.25" x14ac:dyDescent="0.2">
      <c r="A428" s="16"/>
      <c r="B428" s="17"/>
      <c r="C428" s="17" t="s">
        <v>1209</v>
      </c>
      <c r="D428" s="71" t="s">
        <v>1208</v>
      </c>
      <c r="E428" s="72">
        <f>Source!CA336</f>
        <v>62</v>
      </c>
      <c r="F428" s="76"/>
      <c r="G428" s="74"/>
      <c r="H428" s="73">
        <f>SUM(U423:U430)</f>
        <v>37.54</v>
      </c>
      <c r="I428" s="77"/>
      <c r="J428" s="17">
        <f>Source!AU336</f>
        <v>62</v>
      </c>
      <c r="K428" s="73">
        <f>SUM(V423:V430)</f>
        <v>1323.99</v>
      </c>
      <c r="L428" s="75"/>
    </row>
    <row r="429" spans="1:28" ht="14.25" x14ac:dyDescent="0.2">
      <c r="A429" s="16"/>
      <c r="B429" s="17"/>
      <c r="C429" s="17" t="s">
        <v>1210</v>
      </c>
      <c r="D429" s="71" t="s">
        <v>1211</v>
      </c>
      <c r="E429" s="72">
        <f>Source!AQ336</f>
        <v>11.9</v>
      </c>
      <c r="F429" s="73"/>
      <c r="G429" s="74" t="str">
        <f>Source!DI336</f>
        <v/>
      </c>
      <c r="H429" s="73"/>
      <c r="I429" s="74"/>
      <c r="J429" s="74"/>
      <c r="K429" s="73"/>
      <c r="L429" s="89">
        <f>Source!U336</f>
        <v>7.14</v>
      </c>
    </row>
    <row r="430" spans="1:28" ht="28.5" x14ac:dyDescent="0.2">
      <c r="A430" s="90" t="str">
        <f>Source!E337</f>
        <v>51,1</v>
      </c>
      <c r="B430" s="90" t="str">
        <f>Source!F337</f>
        <v>101-1714</v>
      </c>
      <c r="C430" s="90" t="str">
        <f>Source!G337</f>
        <v>Болты с гайками и шайбами строительные</v>
      </c>
      <c r="D430" s="91" t="str">
        <f>Source!H337</f>
        <v>т</v>
      </c>
      <c r="E430" s="92">
        <f>Source!I337</f>
        <v>3.0000000000000001E-3</v>
      </c>
      <c r="F430" s="93">
        <f>Source!AK337</f>
        <v>9040.01</v>
      </c>
      <c r="G430" s="94" t="s">
        <v>3</v>
      </c>
      <c r="H430" s="93">
        <f>ROUND(Source!AC337*Source!I337, 2)+ROUND((((Source!ET337)-(Source!EU337))+Source!AE337)*Source!I337, 2)+ROUND(Source!AF337*Source!I337, 2)</f>
        <v>27.12</v>
      </c>
      <c r="I430" s="91"/>
      <c r="J430" s="91">
        <f>IF(Source!BC337&lt;&gt; 0, Source!BC337, 1)</f>
        <v>23.1</v>
      </c>
      <c r="K430" s="93">
        <f>Source!O337</f>
        <v>626.47</v>
      </c>
      <c r="L430" s="93"/>
      <c r="S430" s="52">
        <f>ROUND((Source!FX337/100)*((ROUND(Source!AF337*Source!I337, 2)+ROUND(Source!AE337*Source!I337, 2))), 2)</f>
        <v>0</v>
      </c>
      <c r="T430" s="52">
        <f>Source!X337</f>
        <v>0</v>
      </c>
      <c r="U430" s="52">
        <f>ROUND((Source!FY337/100)*((ROUND(Source!AF337*Source!I337, 2)+ROUND(Source!AE337*Source!I337, 2))), 2)</f>
        <v>0</v>
      </c>
      <c r="V430" s="52">
        <f>Source!Y337</f>
        <v>0</v>
      </c>
      <c r="Y430" s="52">
        <f>IF(Source!BI337=3,H430, 0)</f>
        <v>0</v>
      </c>
      <c r="AA430" s="52">
        <f>ROUND(Source!AC337*Source!I337, 2)+ROUND((((Source!ET337)-(Source!EU337))+Source!AE337)*Source!I337, 2)+ROUND(Source!AF337*Source!I337, 2)</f>
        <v>27.12</v>
      </c>
      <c r="AB430" s="52">
        <f>Source!O337</f>
        <v>626.47</v>
      </c>
    </row>
    <row r="431" spans="1:28" ht="15" x14ac:dyDescent="0.2">
      <c r="G431" s="83">
        <f>ROUND(Source!AC336*Source!I336, 2)+ROUND(Source!AF336*Source!I336, 2)+ROUND((((Source!ET336)-(Source!EU336))+Source!AE336)*Source!I336, 2)+SUM(H427:H428)+SUM(AA430:AA430)</f>
        <v>183.17</v>
      </c>
      <c r="H431" s="83"/>
      <c r="J431" s="83">
        <f>Source!O336+SUM(K427:K428)+SUM(AB430:AB430)</f>
        <v>6095.4000000000005</v>
      </c>
      <c r="K431" s="83"/>
      <c r="L431" s="84">
        <f>Source!U336</f>
        <v>7.14</v>
      </c>
      <c r="O431" s="85">
        <f>G431</f>
        <v>183.17</v>
      </c>
      <c r="P431" s="85">
        <f>J431</f>
        <v>6095.4000000000005</v>
      </c>
      <c r="Q431" s="85">
        <f>L431</f>
        <v>7.14</v>
      </c>
      <c r="W431" s="52">
        <f>IF(Source!BI336&lt;=1,G431, 0)</f>
        <v>183.17</v>
      </c>
      <c r="X431" s="52">
        <f>IF(Source!BI336=2,G431, 0)</f>
        <v>0</v>
      </c>
      <c r="Y431" s="52">
        <f>IF(Source!BI336=3,G431, 0)</f>
        <v>0</v>
      </c>
      <c r="Z431" s="52">
        <f>IF(Source!BI336=4,G431, 0)</f>
        <v>0</v>
      </c>
    </row>
    <row r="432" spans="1:28" ht="28.5" x14ac:dyDescent="0.2">
      <c r="A432" s="16" t="str">
        <f>Source!E338</f>
        <v>52</v>
      </c>
      <c r="B432" s="17" t="str">
        <f>Source!F338</f>
        <v>116-0503</v>
      </c>
      <c r="C432" s="17" t="str">
        <f>Source!G338</f>
        <v>Скамья парковая, размеры 2000х1030х800 мм</v>
      </c>
      <c r="D432" s="71" t="str">
        <f>Source!H338</f>
        <v>шт.</v>
      </c>
      <c r="E432" s="72">
        <f>Source!I338</f>
        <v>5</v>
      </c>
      <c r="F432" s="73">
        <f>IF(Source!AK338&lt;&gt; 0, Source!AK338,Source!AL338 + Source!AM338 + Source!AO338)</f>
        <v>1186.8800000000001</v>
      </c>
      <c r="G432" s="74"/>
      <c r="H432" s="73"/>
      <c r="I432" s="74" t="str">
        <f>Source!BO338</f>
        <v>116-0503</v>
      </c>
      <c r="J432" s="74"/>
      <c r="K432" s="73"/>
      <c r="L432" s="75"/>
      <c r="S432" s="52">
        <f>ROUND((Source!FX338/100)*((ROUND(Source!AF338*Source!I338, 2)+ROUND(Source!AE338*Source!I338, 2))), 2)</f>
        <v>0</v>
      </c>
      <c r="T432" s="52">
        <f>Source!X338</f>
        <v>0</v>
      </c>
      <c r="U432" s="52">
        <f>ROUND((Source!FY338/100)*((ROUND(Source!AF338*Source!I338, 2)+ROUND(Source!AE338*Source!I338, 2))), 2)</f>
        <v>0</v>
      </c>
      <c r="V432" s="52">
        <f>Source!Y338</f>
        <v>0</v>
      </c>
    </row>
    <row r="433" spans="1:33" ht="14.25" x14ac:dyDescent="0.2">
      <c r="A433" s="20"/>
      <c r="B433" s="21"/>
      <c r="C433" s="21" t="s">
        <v>1213</v>
      </c>
      <c r="D433" s="78"/>
      <c r="E433" s="79"/>
      <c r="F433" s="80">
        <f>Source!AL338</f>
        <v>1186.8800000000001</v>
      </c>
      <c r="G433" s="81" t="str">
        <f>Source!DD338</f>
        <v/>
      </c>
      <c r="H433" s="80">
        <f>ROUND(Source!AC338*Source!I338, 2)</f>
        <v>5934.4</v>
      </c>
      <c r="I433" s="81"/>
      <c r="J433" s="81">
        <f>IF(Source!BC338&lt;&gt; 0, Source!BC338, 1)</f>
        <v>9.67</v>
      </c>
      <c r="K433" s="80">
        <f>Source!P338</f>
        <v>57385.65</v>
      </c>
      <c r="L433" s="100"/>
    </row>
    <row r="434" spans="1:33" ht="15" x14ac:dyDescent="0.2">
      <c r="G434" s="83">
        <f>ROUND(Source!AC338*Source!I338, 2)+ROUND(Source!AF338*Source!I338, 2)+ROUND((((Source!ET338)-(Source!EU338))+Source!AE338)*Source!I338, 2)</f>
        <v>5934.4</v>
      </c>
      <c r="H434" s="83"/>
      <c r="J434" s="83">
        <f>Source!O338</f>
        <v>57385.65</v>
      </c>
      <c r="K434" s="83"/>
      <c r="L434" s="84">
        <f>Source!U338</f>
        <v>0</v>
      </c>
      <c r="O434" s="85">
        <f>G434</f>
        <v>5934.4</v>
      </c>
      <c r="P434" s="85">
        <f>J434</f>
        <v>57385.65</v>
      </c>
      <c r="Q434" s="85">
        <f>L434</f>
        <v>0</v>
      </c>
      <c r="W434" s="52">
        <f>IF(Source!BI338&lt;=1,G434, 0)</f>
        <v>5934.4</v>
      </c>
      <c r="X434" s="52">
        <f>IF(Source!BI338=2,G434, 0)</f>
        <v>0</v>
      </c>
      <c r="Y434" s="52">
        <f>IF(Source!BI338=3,G434, 0)</f>
        <v>0</v>
      </c>
      <c r="Z434" s="52">
        <f>IF(Source!BI338=4,G434, 0)</f>
        <v>0</v>
      </c>
    </row>
    <row r="436" spans="1:33" ht="15" x14ac:dyDescent="0.2">
      <c r="A436" s="86" t="str">
        <f>CONCATENATE("Итого по разделу: ", Source!G340)</f>
        <v>Итого по разделу: Площадка для прощания</v>
      </c>
      <c r="B436" s="86"/>
      <c r="C436" s="86"/>
      <c r="D436" s="86"/>
      <c r="E436" s="86"/>
      <c r="F436" s="86"/>
      <c r="G436" s="83">
        <f>SUM(O319:O435)</f>
        <v>17478.22</v>
      </c>
      <c r="H436" s="64"/>
      <c r="I436" s="87"/>
      <c r="J436" s="83">
        <f>SUM(P319:P435)</f>
        <v>198298.21999999997</v>
      </c>
      <c r="K436" s="64"/>
      <c r="L436" s="84">
        <f>SUM(Q319:Q435)</f>
        <v>38.639503999999995</v>
      </c>
      <c r="AG436" s="88" t="str">
        <f>CONCATENATE("Итого по разделу: ", Source!G340)</f>
        <v>Итого по разделу: Площадка для прощания</v>
      </c>
    </row>
    <row r="438" spans="1:33" ht="14.25" x14ac:dyDescent="0.2">
      <c r="C438" s="17" t="str">
        <f>Source!H369</f>
        <v>ОЗП</v>
      </c>
      <c r="J438" s="65">
        <f>Source!F369</f>
        <v>11000.72</v>
      </c>
      <c r="K438" s="65"/>
    </row>
    <row r="439" spans="1:33" ht="14.25" x14ac:dyDescent="0.2">
      <c r="C439" s="17" t="str">
        <f>Source!H370</f>
        <v>ЭММ, в т.ч. ЗПМ</v>
      </c>
      <c r="J439" s="65">
        <f>Source!F370</f>
        <v>7953.23</v>
      </c>
      <c r="K439" s="65"/>
    </row>
    <row r="440" spans="1:33" ht="14.25" x14ac:dyDescent="0.2">
      <c r="C440" s="17" t="str">
        <f>Source!H371</f>
        <v>Стоимость материалов</v>
      </c>
      <c r="J440" s="65">
        <f>Source!F371</f>
        <v>159294.81</v>
      </c>
      <c r="K440" s="65"/>
    </row>
    <row r="441" spans="1:33" ht="14.25" x14ac:dyDescent="0.2">
      <c r="C441" s="17" t="str">
        <f>Source!H372</f>
        <v>НР</v>
      </c>
      <c r="J441" s="65">
        <f>Source!F372</f>
        <v>12314.02</v>
      </c>
      <c r="K441" s="65"/>
    </row>
    <row r="442" spans="1:33" ht="14.25" x14ac:dyDescent="0.2">
      <c r="C442" s="17" t="str">
        <f>Source!H373</f>
        <v>СП</v>
      </c>
      <c r="J442" s="65">
        <f>Source!F373</f>
        <v>7735.44</v>
      </c>
      <c r="K442" s="65"/>
    </row>
    <row r="443" spans="1:33" ht="14.25" x14ac:dyDescent="0.2">
      <c r="C443" s="17" t="str">
        <f>Source!H374</f>
        <v>Всего</v>
      </c>
      <c r="J443" s="65">
        <f>Source!F374</f>
        <v>198298.22</v>
      </c>
      <c r="K443" s="65"/>
    </row>
    <row r="444" spans="1:33" ht="14.25" x14ac:dyDescent="0.2">
      <c r="C444" s="17" t="str">
        <f>Source!H375</f>
        <v>НДС 20%</v>
      </c>
      <c r="J444" s="65">
        <f>Source!F375</f>
        <v>39659.64</v>
      </c>
      <c r="K444" s="65"/>
    </row>
    <row r="445" spans="1:33" ht="14.25" x14ac:dyDescent="0.2">
      <c r="C445" s="17" t="str">
        <f>Source!H376</f>
        <v>Итого с НДС</v>
      </c>
      <c r="J445" s="65">
        <f>Source!F376</f>
        <v>237957.86</v>
      </c>
      <c r="K445" s="65"/>
    </row>
    <row r="448" spans="1:33" ht="16.5" x14ac:dyDescent="0.2">
      <c r="A448" s="69" t="str">
        <f>CONCATENATE("Раздел: ", Source!G378)</f>
        <v>Раздел: Помещение</v>
      </c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AE448" s="70" t="str">
        <f>CONCATENATE("Раздел: ", Source!G378)</f>
        <v>Раздел: Помещение</v>
      </c>
    </row>
    <row r="449" spans="1:33" ht="14.25" x14ac:dyDescent="0.2">
      <c r="A449" s="16" t="str">
        <f>Source!E382</f>
        <v>53</v>
      </c>
      <c r="B449" s="17" t="str">
        <f>Source!F382</f>
        <v>Прайс</v>
      </c>
      <c r="C449" s="17" t="str">
        <f>Source!G382</f>
        <v>Помещение 4х4 м</v>
      </c>
      <c r="D449" s="71" t="str">
        <f>Source!H382</f>
        <v>ШТ</v>
      </c>
      <c r="E449" s="72">
        <f>Source!I382</f>
        <v>1</v>
      </c>
      <c r="F449" s="73">
        <f>IF(Source!AK382&lt;&gt; 0, Source!AK382,Source!AL382 + Source!AM382 + Source!AO382)</f>
        <v>300000</v>
      </c>
      <c r="G449" s="74"/>
      <c r="H449" s="73"/>
      <c r="I449" s="74" t="str">
        <f>Source!BO382</f>
        <v/>
      </c>
      <c r="J449" s="74"/>
      <c r="K449" s="73"/>
      <c r="L449" s="75"/>
      <c r="S449" s="52">
        <f>ROUND((Source!FX382/100)*((ROUND(Source!AF382*Source!I382, 2)+ROUND(Source!AE382*Source!I382, 2))), 2)</f>
        <v>0</v>
      </c>
      <c r="T449" s="52">
        <f>Source!X382</f>
        <v>0</v>
      </c>
      <c r="U449" s="52">
        <f>ROUND((Source!FY382/100)*((ROUND(Source!AF382*Source!I382, 2)+ROUND(Source!AE382*Source!I382, 2))), 2)</f>
        <v>0</v>
      </c>
      <c r="V449" s="52">
        <f>Source!Y382</f>
        <v>0</v>
      </c>
    </row>
    <row r="450" spans="1:33" ht="14.25" x14ac:dyDescent="0.2">
      <c r="A450" s="20"/>
      <c r="B450" s="21"/>
      <c r="C450" s="21" t="s">
        <v>1213</v>
      </c>
      <c r="D450" s="78"/>
      <c r="E450" s="79"/>
      <c r="F450" s="80">
        <f>Source!AL382</f>
        <v>300000</v>
      </c>
      <c r="G450" s="81" t="str">
        <f>Source!DD382</f>
        <v/>
      </c>
      <c r="H450" s="80">
        <f>ROUND(Source!AC382*Source!I382, 2)</f>
        <v>300000</v>
      </c>
      <c r="I450" s="81"/>
      <c r="J450" s="81">
        <f>IF(Source!BC382&lt;&gt; 0, Source!BC382, 1)</f>
        <v>1</v>
      </c>
      <c r="K450" s="80">
        <f>Source!P382</f>
        <v>300000</v>
      </c>
      <c r="L450" s="100"/>
    </row>
    <row r="451" spans="1:33" ht="15" x14ac:dyDescent="0.2">
      <c r="G451" s="83">
        <f>ROUND(Source!AC382*Source!I382, 2)+ROUND(Source!AF382*Source!I382, 2)+ROUND((((Source!ET382)-(Source!EU382))+Source!AE382)*Source!I382, 2)</f>
        <v>300000</v>
      </c>
      <c r="H451" s="83"/>
      <c r="J451" s="83">
        <f>Source!O382</f>
        <v>300000</v>
      </c>
      <c r="K451" s="83"/>
      <c r="L451" s="84">
        <f>Source!U382</f>
        <v>0</v>
      </c>
      <c r="O451" s="85">
        <f>G451</f>
        <v>300000</v>
      </c>
      <c r="P451" s="85">
        <f>J451</f>
        <v>300000</v>
      </c>
      <c r="Q451" s="85">
        <f>L451</f>
        <v>0</v>
      </c>
      <c r="W451" s="52">
        <f>IF(Source!BI382&lt;=1,G451, 0)</f>
        <v>300000</v>
      </c>
      <c r="X451" s="52">
        <f>IF(Source!BI382=2,G451, 0)</f>
        <v>0</v>
      </c>
      <c r="Y451" s="52">
        <f>IF(Source!BI382=3,G451, 0)</f>
        <v>0</v>
      </c>
      <c r="Z451" s="52">
        <f>IF(Source!BI382=4,G451, 0)</f>
        <v>0</v>
      </c>
    </row>
    <row r="453" spans="1:33" ht="15" x14ac:dyDescent="0.2">
      <c r="A453" s="86" t="str">
        <f>CONCATENATE("Итого по разделу: ", Source!G384)</f>
        <v>Итого по разделу: Помещение</v>
      </c>
      <c r="B453" s="86"/>
      <c r="C453" s="86"/>
      <c r="D453" s="86"/>
      <c r="E453" s="86"/>
      <c r="F453" s="86"/>
      <c r="G453" s="83">
        <f>SUM(O448:O452)</f>
        <v>300000</v>
      </c>
      <c r="H453" s="64"/>
      <c r="I453" s="87"/>
      <c r="J453" s="83">
        <f>SUM(P448:P452)</f>
        <v>300000</v>
      </c>
      <c r="K453" s="64"/>
      <c r="L453" s="84">
        <f>SUM(Q448:Q452)</f>
        <v>0</v>
      </c>
      <c r="AG453" s="88" t="str">
        <f>CONCATENATE("Итого по разделу: ", Source!G384)</f>
        <v>Итого по разделу: Помещение</v>
      </c>
    </row>
    <row r="455" spans="1:33" ht="14.25" x14ac:dyDescent="0.2">
      <c r="C455" s="17" t="str">
        <f>Source!H413</f>
        <v>ОЗП</v>
      </c>
      <c r="J455" s="65">
        <f>Source!F413</f>
        <v>0</v>
      </c>
      <c r="K455" s="65"/>
    </row>
    <row r="456" spans="1:33" ht="14.25" x14ac:dyDescent="0.2">
      <c r="C456" s="17" t="str">
        <f>Source!H414</f>
        <v>ЭММ, в т.ч. ЗПМ</v>
      </c>
      <c r="J456" s="65">
        <f>Source!F414</f>
        <v>0</v>
      </c>
      <c r="K456" s="65"/>
    </row>
    <row r="457" spans="1:33" ht="14.25" x14ac:dyDescent="0.2">
      <c r="C457" s="17" t="str">
        <f>Source!H415</f>
        <v>Стоимость материалов</v>
      </c>
      <c r="J457" s="65">
        <f>Source!F415</f>
        <v>300000</v>
      </c>
      <c r="K457" s="65"/>
    </row>
    <row r="458" spans="1:33" ht="14.25" x14ac:dyDescent="0.2">
      <c r="C458" s="17" t="str">
        <f>Source!H416</f>
        <v>НР</v>
      </c>
      <c r="J458" s="65">
        <f>Source!F416</f>
        <v>0</v>
      </c>
      <c r="K458" s="65"/>
    </row>
    <row r="459" spans="1:33" ht="14.25" x14ac:dyDescent="0.2">
      <c r="C459" s="17" t="str">
        <f>Source!H417</f>
        <v>СП</v>
      </c>
      <c r="J459" s="65">
        <f>Source!F417</f>
        <v>0</v>
      </c>
      <c r="K459" s="65"/>
    </row>
    <row r="460" spans="1:33" ht="14.25" x14ac:dyDescent="0.2">
      <c r="C460" s="17" t="str">
        <f>Source!H418</f>
        <v>Всего</v>
      </c>
      <c r="J460" s="65">
        <f>Source!F418</f>
        <v>300000</v>
      </c>
      <c r="K460" s="65"/>
    </row>
    <row r="461" spans="1:33" ht="14.25" x14ac:dyDescent="0.2">
      <c r="C461" s="17" t="str">
        <f>Source!H419</f>
        <v>НДС 20%</v>
      </c>
      <c r="J461" s="65">
        <f>Source!F419</f>
        <v>60000</v>
      </c>
      <c r="K461" s="65"/>
    </row>
    <row r="462" spans="1:33" ht="14.25" x14ac:dyDescent="0.2">
      <c r="C462" s="17" t="str">
        <f>Source!H420</f>
        <v>Итого с НДС</v>
      </c>
      <c r="J462" s="65">
        <f>Source!F420</f>
        <v>360000</v>
      </c>
      <c r="K462" s="65"/>
    </row>
    <row r="465" spans="1:31" ht="16.5" x14ac:dyDescent="0.2">
      <c r="A465" s="69" t="str">
        <f>CONCATENATE("Раздел: ", Source!G422)</f>
        <v>Раздел: Заезд</v>
      </c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AE465" s="70" t="str">
        <f>CONCATENATE("Раздел: ", Source!G422)</f>
        <v>Раздел: Заезд</v>
      </c>
    </row>
    <row r="466" spans="1:31" ht="57" x14ac:dyDescent="0.2">
      <c r="A466" s="16" t="str">
        <f>Source!E426</f>
        <v>54</v>
      </c>
      <c r="B466" s="17" t="str">
        <f>Source!F426</f>
        <v>01-01-014-5</v>
      </c>
      <c r="C466" s="17" t="str">
        <f>Source!G426</f>
        <v>Разработка грунта с погрузкой на автомобили-самосвалы экскаваторами с ковшом вместимостью 0,25 м3, группа грунтов 2</v>
      </c>
      <c r="D466" s="71" t="str">
        <f>Source!H426</f>
        <v>1000 м3 грунта</v>
      </c>
      <c r="E466" s="72">
        <f>Source!I426</f>
        <v>1.14E-2</v>
      </c>
      <c r="F466" s="73">
        <f>IF(Source!AK426&lt;&gt; 0, Source!AK426,Source!AL426 + Source!AM426 + Source!AO426)</f>
        <v>7391.52</v>
      </c>
      <c r="G466" s="74"/>
      <c r="H466" s="73"/>
      <c r="I466" s="74" t="str">
        <f>Source!BO426</f>
        <v>01-01-014-5</v>
      </c>
      <c r="J466" s="74"/>
      <c r="K466" s="73"/>
      <c r="L466" s="75"/>
      <c r="S466" s="52">
        <f>ROUND((Source!FX426/100)*((ROUND(Source!AF426*Source!I426, 2)+ROUND(Source!AE426*Source!I426, 2))), 2)</f>
        <v>12.17</v>
      </c>
      <c r="T466" s="52">
        <f>Source!X426</f>
        <v>429.37</v>
      </c>
      <c r="U466" s="52">
        <f>ROUND((Source!FY426/100)*((ROUND(Source!AF426*Source!I426, 2)+ROUND(Source!AE426*Source!I426, 2))), 2)</f>
        <v>6.09</v>
      </c>
      <c r="V466" s="52">
        <f>Source!Y426</f>
        <v>214.69</v>
      </c>
    </row>
    <row r="467" spans="1:31" x14ac:dyDescent="0.2">
      <c r="C467" s="18" t="str">
        <f>"Объем: "&amp;Source!I426&amp;"=11,4/"&amp;"1000"</f>
        <v>Объем: 0,0114=11,4/1000</v>
      </c>
    </row>
    <row r="468" spans="1:31" ht="14.25" x14ac:dyDescent="0.2">
      <c r="A468" s="16"/>
      <c r="B468" s="17"/>
      <c r="C468" s="17" t="s">
        <v>1206</v>
      </c>
      <c r="D468" s="71"/>
      <c r="E468" s="72"/>
      <c r="F468" s="73">
        <f>Source!AO426</f>
        <v>228.32</v>
      </c>
      <c r="G468" s="74" t="str">
        <f>Source!DG426</f>
        <v/>
      </c>
      <c r="H468" s="73">
        <f>ROUND(Source!AF426*Source!I426, 2)</f>
        <v>2.6</v>
      </c>
      <c r="I468" s="74"/>
      <c r="J468" s="74">
        <f>IF(Source!BA426&lt;&gt; 0, Source!BA426, 1)</f>
        <v>35.270000000000003</v>
      </c>
      <c r="K468" s="73">
        <f>Source!S426</f>
        <v>91.8</v>
      </c>
      <c r="L468" s="75"/>
      <c r="R468" s="52">
        <f>H468</f>
        <v>2.6</v>
      </c>
    </row>
    <row r="469" spans="1:31" ht="14.25" x14ac:dyDescent="0.2">
      <c r="A469" s="16"/>
      <c r="B469" s="17"/>
      <c r="C469" s="17" t="s">
        <v>103</v>
      </c>
      <c r="D469" s="71"/>
      <c r="E469" s="72"/>
      <c r="F469" s="73">
        <f>Source!AM426</f>
        <v>7152.41</v>
      </c>
      <c r="G469" s="74" t="str">
        <f>Source!DE426</f>
        <v/>
      </c>
      <c r="H469" s="73">
        <f>ROUND((((Source!ET426)-(Source!EU426))+Source!AE426)*Source!I426, 2)</f>
        <v>81.540000000000006</v>
      </c>
      <c r="I469" s="74"/>
      <c r="J469" s="74">
        <f>IF(Source!BB426&lt;&gt; 0, Source!BB426, 1)</f>
        <v>17.850000000000001</v>
      </c>
      <c r="K469" s="73">
        <f>Source!Q426</f>
        <v>1455.44</v>
      </c>
      <c r="L469" s="75"/>
    </row>
    <row r="470" spans="1:31" ht="14.25" x14ac:dyDescent="0.2">
      <c r="A470" s="16"/>
      <c r="B470" s="17"/>
      <c r="C470" s="17" t="s">
        <v>1212</v>
      </c>
      <c r="D470" s="71"/>
      <c r="E470" s="72"/>
      <c r="F470" s="73">
        <f>Source!AN426</f>
        <v>932.43</v>
      </c>
      <c r="G470" s="74" t="str">
        <f>Source!DF426</f>
        <v/>
      </c>
      <c r="H470" s="73">
        <f>ROUND(Source!AE426*Source!I426, 2)</f>
        <v>10.63</v>
      </c>
      <c r="I470" s="74"/>
      <c r="J470" s="74">
        <f>IF(Source!BS426&lt;&gt; 0, Source!BS426, 1)</f>
        <v>35.270000000000003</v>
      </c>
      <c r="K470" s="73">
        <f>Source!R426</f>
        <v>374.91</v>
      </c>
      <c r="L470" s="75"/>
      <c r="R470" s="52">
        <f>H470</f>
        <v>10.63</v>
      </c>
    </row>
    <row r="471" spans="1:31" ht="14.25" x14ac:dyDescent="0.2">
      <c r="A471" s="16"/>
      <c r="B471" s="17"/>
      <c r="C471" s="17" t="s">
        <v>1213</v>
      </c>
      <c r="D471" s="71"/>
      <c r="E471" s="72"/>
      <c r="F471" s="73">
        <f>Source!AL426</f>
        <v>10.79</v>
      </c>
      <c r="G471" s="74" t="str">
        <f>Source!DD426</f>
        <v/>
      </c>
      <c r="H471" s="73">
        <f>ROUND(Source!AC426*Source!I426, 2)</f>
        <v>0.12</v>
      </c>
      <c r="I471" s="74"/>
      <c r="J471" s="74">
        <f>IF(Source!BC426&lt;&gt; 0, Source!BC426, 1)</f>
        <v>14.92</v>
      </c>
      <c r="K471" s="73">
        <f>Source!P426</f>
        <v>1.84</v>
      </c>
      <c r="L471" s="75"/>
    </row>
    <row r="472" spans="1:31" ht="14.25" x14ac:dyDescent="0.2">
      <c r="A472" s="16"/>
      <c r="B472" s="17"/>
      <c r="C472" s="17" t="s">
        <v>1207</v>
      </c>
      <c r="D472" s="71" t="s">
        <v>1208</v>
      </c>
      <c r="E472" s="72">
        <f>Source!BZ426</f>
        <v>92</v>
      </c>
      <c r="F472" s="76"/>
      <c r="G472" s="74"/>
      <c r="H472" s="73">
        <f>SUM(S466:S474)</f>
        <v>12.17</v>
      </c>
      <c r="I472" s="77"/>
      <c r="J472" s="17">
        <f>Source!AT426</f>
        <v>92</v>
      </c>
      <c r="K472" s="73">
        <f>SUM(T466:T474)</f>
        <v>429.37</v>
      </c>
      <c r="L472" s="75"/>
    </row>
    <row r="473" spans="1:31" ht="14.25" x14ac:dyDescent="0.2">
      <c r="A473" s="16"/>
      <c r="B473" s="17"/>
      <c r="C473" s="17" t="s">
        <v>1209</v>
      </c>
      <c r="D473" s="71" t="s">
        <v>1208</v>
      </c>
      <c r="E473" s="72">
        <f>Source!CA426</f>
        <v>46</v>
      </c>
      <c r="F473" s="76"/>
      <c r="G473" s="74"/>
      <c r="H473" s="73">
        <f>SUM(U466:U474)</f>
        <v>6.09</v>
      </c>
      <c r="I473" s="77"/>
      <c r="J473" s="17">
        <f>Source!AU426</f>
        <v>46</v>
      </c>
      <c r="K473" s="73">
        <f>SUM(V466:V474)</f>
        <v>214.69</v>
      </c>
      <c r="L473" s="75"/>
    </row>
    <row r="474" spans="1:31" ht="14.25" x14ac:dyDescent="0.2">
      <c r="A474" s="20"/>
      <c r="B474" s="21"/>
      <c r="C474" s="21" t="s">
        <v>1210</v>
      </c>
      <c r="D474" s="78" t="s">
        <v>1211</v>
      </c>
      <c r="E474" s="79">
        <f>Source!AQ426</f>
        <v>31.32</v>
      </c>
      <c r="F474" s="80"/>
      <c r="G474" s="81" t="str">
        <f>Source!DI426</f>
        <v/>
      </c>
      <c r="H474" s="80"/>
      <c r="I474" s="81"/>
      <c r="J474" s="81"/>
      <c r="K474" s="80"/>
      <c r="L474" s="82">
        <f>Source!U426</f>
        <v>0.35704800000000003</v>
      </c>
    </row>
    <row r="475" spans="1:31" ht="15" x14ac:dyDescent="0.2">
      <c r="G475" s="83">
        <f>ROUND(Source!AC426*Source!I426, 2)+ROUND(Source!AF426*Source!I426, 2)+ROUND((((Source!ET426)-(Source!EU426))+Source!AE426)*Source!I426, 2)+SUM(H472:H473)</f>
        <v>102.52000000000001</v>
      </c>
      <c r="H475" s="83"/>
      <c r="J475" s="83">
        <f>Source!O426+SUM(K472:K473)</f>
        <v>2193.14</v>
      </c>
      <c r="K475" s="83"/>
      <c r="L475" s="84">
        <f>Source!U426</f>
        <v>0.35704800000000003</v>
      </c>
      <c r="O475" s="85">
        <f>G475</f>
        <v>102.52000000000001</v>
      </c>
      <c r="P475" s="85">
        <f>J475</f>
        <v>2193.14</v>
      </c>
      <c r="Q475" s="85">
        <f>L475</f>
        <v>0.35704800000000003</v>
      </c>
      <c r="W475" s="52">
        <f>IF(Source!BI426&lt;=1,G475, 0)</f>
        <v>102.52000000000001</v>
      </c>
      <c r="X475" s="52">
        <f>IF(Source!BI426=2,G475, 0)</f>
        <v>0</v>
      </c>
      <c r="Y475" s="52">
        <f>IF(Source!BI426=3,G475, 0)</f>
        <v>0</v>
      </c>
      <c r="Z475" s="52">
        <f>IF(Source!BI426=4,G475, 0)</f>
        <v>0</v>
      </c>
    </row>
    <row r="476" spans="1:31" ht="99.75" x14ac:dyDescent="0.2">
      <c r="A476" s="16" t="str">
        <f>Source!E427</f>
        <v>55</v>
      </c>
      <c r="B476" s="17" t="str">
        <f>Source!F427</f>
        <v>27-04-001-1</v>
      </c>
      <c r="C476" s="17" t="str">
        <f>Source!G427</f>
        <v>Устройство подстилающих и выравнивающих слоев оснований из песка</v>
      </c>
      <c r="D476" s="71" t="str">
        <f>Source!H427</f>
        <v>100 м3 материала основания (в плотном теле)</v>
      </c>
      <c r="E476" s="72">
        <f>Source!I427</f>
        <v>4.4999999999999998E-2</v>
      </c>
      <c r="F476" s="73">
        <f>IF(Source!AK427&lt;&gt; 0, Source!AK427,Source!AL427 + Source!AM427 + Source!AO427)</f>
        <v>2356.17</v>
      </c>
      <c r="G476" s="74"/>
      <c r="H476" s="73"/>
      <c r="I476" s="74" t="str">
        <f>Source!BO427</f>
        <v>27-04-001-1</v>
      </c>
      <c r="J476" s="74"/>
      <c r="K476" s="73"/>
      <c r="L476" s="75"/>
      <c r="S476" s="52">
        <f>ROUND((Source!FX427/100)*((ROUND(Source!AF427*Source!I427, 2)+ROUND(Source!AE427*Source!I427, 2))), 2)</f>
        <v>18.32</v>
      </c>
      <c r="T476" s="52">
        <f>Source!X427</f>
        <v>645.79999999999995</v>
      </c>
      <c r="U476" s="52">
        <f>ROUND((Source!FY427/100)*((ROUND(Source!AF427*Source!I427, 2)+ROUND(Source!AE427*Source!I427, 2))), 2)</f>
        <v>16.7</v>
      </c>
      <c r="V476" s="52">
        <f>Source!Y427</f>
        <v>588.69000000000005</v>
      </c>
    </row>
    <row r="477" spans="1:31" x14ac:dyDescent="0.2">
      <c r="C477" s="18" t="str">
        <f>"Объем: "&amp;Source!I427&amp;"=4,5/"&amp;"100"</f>
        <v>Объем: 0,045=4,5/100</v>
      </c>
    </row>
    <row r="478" spans="1:31" ht="14.25" x14ac:dyDescent="0.2">
      <c r="A478" s="16"/>
      <c r="B478" s="17"/>
      <c r="C478" s="17" t="s">
        <v>1206</v>
      </c>
      <c r="D478" s="71"/>
      <c r="E478" s="72"/>
      <c r="F478" s="73">
        <f>Source!AO427</f>
        <v>117.74</v>
      </c>
      <c r="G478" s="74" t="str">
        <f>Source!DG427</f>
        <v/>
      </c>
      <c r="H478" s="73">
        <f>ROUND(Source!AF427*Source!I427, 2)</f>
        <v>5.3</v>
      </c>
      <c r="I478" s="74"/>
      <c r="J478" s="74">
        <f>IF(Source!BA427&lt;&gt; 0, Source!BA427, 1)</f>
        <v>35.270000000000003</v>
      </c>
      <c r="K478" s="73">
        <f>Source!S427</f>
        <v>186.87</v>
      </c>
      <c r="L478" s="75"/>
      <c r="R478" s="52">
        <f>H478</f>
        <v>5.3</v>
      </c>
    </row>
    <row r="479" spans="1:31" ht="14.25" x14ac:dyDescent="0.2">
      <c r="A479" s="16"/>
      <c r="B479" s="17"/>
      <c r="C479" s="17" t="s">
        <v>103</v>
      </c>
      <c r="D479" s="71"/>
      <c r="E479" s="72"/>
      <c r="F479" s="73">
        <f>Source!AM427</f>
        <v>2226.08</v>
      </c>
      <c r="G479" s="74" t="str">
        <f>Source!DE427</f>
        <v/>
      </c>
      <c r="H479" s="73">
        <f>ROUND((((Source!ET427)-(Source!EU427))+Source!AE427)*Source!I427, 2)</f>
        <v>100.17</v>
      </c>
      <c r="I479" s="74"/>
      <c r="J479" s="74">
        <f>IF(Source!BB427&lt;&gt; 0, Source!BB427, 1)</f>
        <v>16.48</v>
      </c>
      <c r="K479" s="73">
        <f>Source!Q427</f>
        <v>1650.86</v>
      </c>
      <c r="L479" s="75"/>
    </row>
    <row r="480" spans="1:31" ht="14.25" x14ac:dyDescent="0.2">
      <c r="A480" s="16"/>
      <c r="B480" s="17"/>
      <c r="C480" s="17" t="s">
        <v>1212</v>
      </c>
      <c r="D480" s="71"/>
      <c r="E480" s="72"/>
      <c r="F480" s="73">
        <f>Source!AN427</f>
        <v>159.06</v>
      </c>
      <c r="G480" s="74" t="str">
        <f>Source!DF427</f>
        <v/>
      </c>
      <c r="H480" s="73">
        <f>ROUND(Source!AE427*Source!I427, 2)</f>
        <v>7.16</v>
      </c>
      <c r="I480" s="74"/>
      <c r="J480" s="74">
        <f>IF(Source!BS427&lt;&gt; 0, Source!BS427, 1)</f>
        <v>35.270000000000003</v>
      </c>
      <c r="K480" s="73">
        <f>Source!R427</f>
        <v>252.45</v>
      </c>
      <c r="L480" s="75"/>
      <c r="R480" s="52">
        <f>H480</f>
        <v>7.16</v>
      </c>
    </row>
    <row r="481" spans="1:26" ht="14.25" x14ac:dyDescent="0.2">
      <c r="A481" s="16"/>
      <c r="B481" s="17"/>
      <c r="C481" s="17" t="s">
        <v>1213</v>
      </c>
      <c r="D481" s="71"/>
      <c r="E481" s="72"/>
      <c r="F481" s="73">
        <f>Source!AL427</f>
        <v>12.35</v>
      </c>
      <c r="G481" s="74" t="str">
        <f>Source!DD427</f>
        <v/>
      </c>
      <c r="H481" s="73">
        <f>ROUND(Source!AC427*Source!I427, 2)</f>
        <v>0.56000000000000005</v>
      </c>
      <c r="I481" s="74"/>
      <c r="J481" s="74">
        <f>IF(Source!BC427&lt;&gt; 0, Source!BC427, 1)</f>
        <v>7.93</v>
      </c>
      <c r="K481" s="73">
        <f>Source!P427</f>
        <v>4.41</v>
      </c>
      <c r="L481" s="75"/>
    </row>
    <row r="482" spans="1:26" ht="14.25" x14ac:dyDescent="0.2">
      <c r="A482" s="16"/>
      <c r="B482" s="17"/>
      <c r="C482" s="17" t="s">
        <v>1207</v>
      </c>
      <c r="D482" s="71" t="s">
        <v>1208</v>
      </c>
      <c r="E482" s="72">
        <f>Source!BZ427</f>
        <v>147</v>
      </c>
      <c r="F482" s="76"/>
      <c r="G482" s="74"/>
      <c r="H482" s="73">
        <f>SUM(S476:S484)</f>
        <v>18.32</v>
      </c>
      <c r="I482" s="77"/>
      <c r="J482" s="17">
        <f>Source!AT427</f>
        <v>147</v>
      </c>
      <c r="K482" s="73">
        <f>SUM(T476:T484)</f>
        <v>645.79999999999995</v>
      </c>
      <c r="L482" s="75"/>
    </row>
    <row r="483" spans="1:26" ht="14.25" x14ac:dyDescent="0.2">
      <c r="A483" s="16"/>
      <c r="B483" s="17"/>
      <c r="C483" s="17" t="s">
        <v>1209</v>
      </c>
      <c r="D483" s="71" t="s">
        <v>1208</v>
      </c>
      <c r="E483" s="72">
        <f>Source!CA427</f>
        <v>134</v>
      </c>
      <c r="F483" s="76"/>
      <c r="G483" s="74"/>
      <c r="H483" s="73">
        <f>SUM(U476:U484)</f>
        <v>16.7</v>
      </c>
      <c r="I483" s="77"/>
      <c r="J483" s="17">
        <f>Source!AU427</f>
        <v>134</v>
      </c>
      <c r="K483" s="73">
        <f>SUM(V476:V484)</f>
        <v>588.69000000000005</v>
      </c>
      <c r="L483" s="75"/>
    </row>
    <row r="484" spans="1:26" ht="14.25" x14ac:dyDescent="0.2">
      <c r="A484" s="20"/>
      <c r="B484" s="21"/>
      <c r="C484" s="21" t="s">
        <v>1210</v>
      </c>
      <c r="D484" s="78" t="s">
        <v>1211</v>
      </c>
      <c r="E484" s="79">
        <f>Source!AQ427</f>
        <v>15.72</v>
      </c>
      <c r="F484" s="80"/>
      <c r="G484" s="81" t="str">
        <f>Source!DI427</f>
        <v/>
      </c>
      <c r="H484" s="80"/>
      <c r="I484" s="81"/>
      <c r="J484" s="81"/>
      <c r="K484" s="80"/>
      <c r="L484" s="82">
        <f>Source!U427</f>
        <v>0.70740000000000003</v>
      </c>
    </row>
    <row r="485" spans="1:26" ht="15" x14ac:dyDescent="0.2">
      <c r="G485" s="83">
        <f>ROUND(Source!AC427*Source!I427, 2)+ROUND(Source!AF427*Source!I427, 2)+ROUND((((Source!ET427)-(Source!EU427))+Source!AE427)*Source!I427, 2)+SUM(H482:H483)</f>
        <v>141.05000000000001</v>
      </c>
      <c r="H485" s="83"/>
      <c r="J485" s="83">
        <f>Source!O427+SUM(K482:K483)</f>
        <v>3076.63</v>
      </c>
      <c r="K485" s="83"/>
      <c r="L485" s="84">
        <f>Source!U427</f>
        <v>0.70740000000000003</v>
      </c>
      <c r="O485" s="85">
        <f>G485</f>
        <v>141.05000000000001</v>
      </c>
      <c r="P485" s="85">
        <f>J485</f>
        <v>3076.63</v>
      </c>
      <c r="Q485" s="85">
        <f>L485</f>
        <v>0.70740000000000003</v>
      </c>
      <c r="W485" s="52">
        <f>IF(Source!BI427&lt;=1,G485, 0)</f>
        <v>141.05000000000001</v>
      </c>
      <c r="X485" s="52">
        <f>IF(Source!BI427=2,G485, 0)</f>
        <v>0</v>
      </c>
      <c r="Y485" s="52">
        <f>IF(Source!BI427=3,G485, 0)</f>
        <v>0</v>
      </c>
      <c r="Z485" s="52">
        <f>IF(Source!BI427=4,G485, 0)</f>
        <v>0</v>
      </c>
    </row>
    <row r="486" spans="1:26" ht="28.5" x14ac:dyDescent="0.2">
      <c r="A486" s="16" t="str">
        <f>Source!E429</f>
        <v>56</v>
      </c>
      <c r="B486" s="17" t="str">
        <f>Source!F429</f>
        <v>408-0124</v>
      </c>
      <c r="C486" s="17" t="str">
        <f>Source!G429</f>
        <v>Песок природный для строительных работ мелкий</v>
      </c>
      <c r="D486" s="71" t="str">
        <f>Source!H429</f>
        <v>м3</v>
      </c>
      <c r="E486" s="72">
        <f>Source!I429</f>
        <v>4.95</v>
      </c>
      <c r="F486" s="73">
        <f>IF(Source!AK429&lt;&gt; 0, Source!AK429,Source!AL429 + Source!AM429 + Source!AO429)</f>
        <v>54</v>
      </c>
      <c r="G486" s="74"/>
      <c r="H486" s="73"/>
      <c r="I486" s="74" t="str">
        <f>Source!BO429</f>
        <v>408-0124</v>
      </c>
      <c r="J486" s="74"/>
      <c r="K486" s="73"/>
      <c r="L486" s="75"/>
      <c r="S486" s="52">
        <f>ROUND((Source!FX429/100)*((ROUND(Source!AF429*Source!I429, 2)+ROUND(Source!AE429*Source!I429, 2))), 2)</f>
        <v>0</v>
      </c>
      <c r="T486" s="52">
        <f>Source!X429</f>
        <v>0</v>
      </c>
      <c r="U486" s="52">
        <f>ROUND((Source!FY429/100)*((ROUND(Source!AF429*Source!I429, 2)+ROUND(Source!AE429*Source!I429, 2))), 2)</f>
        <v>0</v>
      </c>
      <c r="V486" s="52">
        <f>Source!Y429</f>
        <v>0</v>
      </c>
    </row>
    <row r="487" spans="1:26" ht="14.25" x14ac:dyDescent="0.2">
      <c r="A487" s="20"/>
      <c r="B487" s="21"/>
      <c r="C487" s="21" t="s">
        <v>1213</v>
      </c>
      <c r="D487" s="78"/>
      <c r="E487" s="79"/>
      <c r="F487" s="80">
        <f>Source!AL429</f>
        <v>54</v>
      </c>
      <c r="G487" s="81" t="str">
        <f>Source!DD429</f>
        <v/>
      </c>
      <c r="H487" s="80">
        <f>ROUND(Source!AC429*Source!I429, 2)</f>
        <v>267.3</v>
      </c>
      <c r="I487" s="81"/>
      <c r="J487" s="81">
        <f>IF(Source!BC429&lt;&gt; 0, Source!BC429, 1)</f>
        <v>16.04</v>
      </c>
      <c r="K487" s="80">
        <f>Source!P429</f>
        <v>4287.49</v>
      </c>
      <c r="L487" s="100"/>
    </row>
    <row r="488" spans="1:26" ht="15" x14ac:dyDescent="0.2">
      <c r="G488" s="83">
        <f>ROUND(Source!AC429*Source!I429, 2)+ROUND(Source!AF429*Source!I429, 2)+ROUND((((Source!ET429)-(Source!EU429))+Source!AE429)*Source!I429, 2)</f>
        <v>267.3</v>
      </c>
      <c r="H488" s="83"/>
      <c r="J488" s="83">
        <f>Source!O429</f>
        <v>4287.49</v>
      </c>
      <c r="K488" s="83"/>
      <c r="L488" s="84">
        <f>Source!U429</f>
        <v>0</v>
      </c>
      <c r="O488" s="85">
        <f>G488</f>
        <v>267.3</v>
      </c>
      <c r="P488" s="85">
        <f>J488</f>
        <v>4287.49</v>
      </c>
      <c r="Q488" s="85">
        <f>L488</f>
        <v>0</v>
      </c>
      <c r="W488" s="52">
        <f>IF(Source!BI429&lt;=1,G488, 0)</f>
        <v>267.3</v>
      </c>
      <c r="X488" s="52">
        <f>IF(Source!BI429=2,G488, 0)</f>
        <v>0</v>
      </c>
      <c r="Y488" s="52">
        <f>IF(Source!BI429=3,G488, 0)</f>
        <v>0</v>
      </c>
      <c r="Z488" s="52">
        <f>IF(Source!BI429=4,G488, 0)</f>
        <v>0</v>
      </c>
    </row>
    <row r="489" spans="1:26" ht="85.5" x14ac:dyDescent="0.2">
      <c r="A489" s="16" t="str">
        <f>Source!E430</f>
        <v>57</v>
      </c>
      <c r="B489" s="17" t="str">
        <f>Source!F430</f>
        <v>27-04-006-1</v>
      </c>
      <c r="C489" s="17" t="str">
        <f>Source!G430</f>
        <v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</v>
      </c>
      <c r="D489" s="71" t="str">
        <f>Source!H430</f>
        <v>1000 м2 основания</v>
      </c>
      <c r="E489" s="72">
        <f>Source!I430</f>
        <v>0.03</v>
      </c>
      <c r="F489" s="73">
        <f>IF(Source!AK430&lt;&gt; 0, Source!AK430,Source!AL430 + Source!AM430 + Source!AO430)</f>
        <v>56835.13</v>
      </c>
      <c r="G489" s="74"/>
      <c r="H489" s="73"/>
      <c r="I489" s="74" t="str">
        <f>Source!BO430</f>
        <v>27-04-006-1</v>
      </c>
      <c r="J489" s="74"/>
      <c r="K489" s="73"/>
      <c r="L489" s="75"/>
      <c r="S489" s="52">
        <f>ROUND((Source!FX430/100)*((ROUND(Source!AF430*Source!I430, 2)+ROUND(Source!AE430*Source!I430, 2))), 2)</f>
        <v>34.06</v>
      </c>
      <c r="T489" s="52">
        <f>Source!X430</f>
        <v>1201.3900000000001</v>
      </c>
      <c r="U489" s="52">
        <f>ROUND((Source!FY430/100)*((ROUND(Source!AF430*Source!I430, 2)+ROUND(Source!AE430*Source!I430, 2))), 2)</f>
        <v>31.05</v>
      </c>
      <c r="V489" s="52">
        <f>Source!Y430</f>
        <v>1095.1400000000001</v>
      </c>
    </row>
    <row r="490" spans="1:26" x14ac:dyDescent="0.2">
      <c r="C490" s="18" t="str">
        <f>"Объем: "&amp;Source!I430&amp;"=30/"&amp;"1000"</f>
        <v>Объем: 0,03=30/1000</v>
      </c>
    </row>
    <row r="491" spans="1:26" ht="14.25" x14ac:dyDescent="0.2">
      <c r="A491" s="16"/>
      <c r="B491" s="17"/>
      <c r="C491" s="17" t="s">
        <v>1206</v>
      </c>
      <c r="D491" s="71"/>
      <c r="E491" s="72"/>
      <c r="F491" s="73">
        <f>Source!AO430</f>
        <v>282</v>
      </c>
      <c r="G491" s="74" t="str">
        <f>Source!DG430</f>
        <v/>
      </c>
      <c r="H491" s="73">
        <f>ROUND(Source!AF430*Source!I430, 2)</f>
        <v>8.4600000000000009</v>
      </c>
      <c r="I491" s="74"/>
      <c r="J491" s="74">
        <f>IF(Source!BA430&lt;&gt; 0, Source!BA430, 1)</f>
        <v>35.270000000000003</v>
      </c>
      <c r="K491" s="73">
        <f>Source!S430</f>
        <v>298.38</v>
      </c>
      <c r="L491" s="75"/>
      <c r="R491" s="52">
        <f>H491</f>
        <v>8.4600000000000009</v>
      </c>
    </row>
    <row r="492" spans="1:26" ht="14.25" x14ac:dyDescent="0.2">
      <c r="A492" s="16"/>
      <c r="B492" s="17"/>
      <c r="C492" s="17" t="s">
        <v>103</v>
      </c>
      <c r="D492" s="71"/>
      <c r="E492" s="72"/>
      <c r="F492" s="73">
        <f>Source!AM430</f>
        <v>3844.99</v>
      </c>
      <c r="G492" s="74" t="str">
        <f>Source!DE430</f>
        <v/>
      </c>
      <c r="H492" s="73">
        <f>ROUND((((Source!ET430)-(Source!EU430))+Source!AE430)*Source!I430, 2)</f>
        <v>115.35</v>
      </c>
      <c r="I492" s="74"/>
      <c r="J492" s="74">
        <f>IF(Source!BB430&lt;&gt; 0, Source!BB430, 1)</f>
        <v>24.03</v>
      </c>
      <c r="K492" s="73">
        <f>Source!Q430</f>
        <v>2771.85</v>
      </c>
      <c r="L492" s="75"/>
    </row>
    <row r="493" spans="1:26" ht="14.25" x14ac:dyDescent="0.2">
      <c r="A493" s="16"/>
      <c r="B493" s="17"/>
      <c r="C493" s="17" t="s">
        <v>1212</v>
      </c>
      <c r="D493" s="71"/>
      <c r="E493" s="72"/>
      <c r="F493" s="73">
        <f>Source!AN430</f>
        <v>490.4</v>
      </c>
      <c r="G493" s="74" t="str">
        <f>Source!DF430</f>
        <v/>
      </c>
      <c r="H493" s="73">
        <f>ROUND(Source!AE430*Source!I430, 2)</f>
        <v>14.71</v>
      </c>
      <c r="I493" s="74"/>
      <c r="J493" s="74">
        <f>IF(Source!BS430&lt;&gt; 0, Source!BS430, 1)</f>
        <v>35.270000000000003</v>
      </c>
      <c r="K493" s="73">
        <f>Source!R430</f>
        <v>518.89</v>
      </c>
      <c r="L493" s="75"/>
      <c r="R493" s="52">
        <f>H493</f>
        <v>14.71</v>
      </c>
    </row>
    <row r="494" spans="1:26" ht="14.25" x14ac:dyDescent="0.2">
      <c r="A494" s="16"/>
      <c r="B494" s="17"/>
      <c r="C494" s="17" t="s">
        <v>1213</v>
      </c>
      <c r="D494" s="71"/>
      <c r="E494" s="72"/>
      <c r="F494" s="73">
        <f>Source!AL430</f>
        <v>52708.14</v>
      </c>
      <c r="G494" s="74" t="str">
        <f>Source!DD430</f>
        <v/>
      </c>
      <c r="H494" s="73">
        <f>ROUND(Source!AC430*Source!I430, 2)</f>
        <v>1581.24</v>
      </c>
      <c r="I494" s="74"/>
      <c r="J494" s="74">
        <f>IF(Source!BC430&lt;&gt; 0, Source!BC430, 1)</f>
        <v>13.99</v>
      </c>
      <c r="K494" s="73">
        <f>Source!P430</f>
        <v>22121.61</v>
      </c>
      <c r="L494" s="75"/>
    </row>
    <row r="495" spans="1:26" ht="14.25" x14ac:dyDescent="0.2">
      <c r="A495" s="16"/>
      <c r="B495" s="17"/>
      <c r="C495" s="17" t="s">
        <v>1207</v>
      </c>
      <c r="D495" s="71" t="s">
        <v>1208</v>
      </c>
      <c r="E495" s="72">
        <f>Source!BZ430</f>
        <v>147</v>
      </c>
      <c r="F495" s="76"/>
      <c r="G495" s="74"/>
      <c r="H495" s="73">
        <f>SUM(S489:S497)</f>
        <v>34.06</v>
      </c>
      <c r="I495" s="77"/>
      <c r="J495" s="17">
        <f>Source!AT430</f>
        <v>147</v>
      </c>
      <c r="K495" s="73">
        <f>SUM(T489:T497)</f>
        <v>1201.3900000000001</v>
      </c>
      <c r="L495" s="75"/>
    </row>
    <row r="496" spans="1:26" ht="14.25" x14ac:dyDescent="0.2">
      <c r="A496" s="16"/>
      <c r="B496" s="17"/>
      <c r="C496" s="17" t="s">
        <v>1209</v>
      </c>
      <c r="D496" s="71" t="s">
        <v>1208</v>
      </c>
      <c r="E496" s="72">
        <f>Source!CA430</f>
        <v>134</v>
      </c>
      <c r="F496" s="76"/>
      <c r="G496" s="74"/>
      <c r="H496" s="73">
        <f>SUM(U489:U497)</f>
        <v>31.05</v>
      </c>
      <c r="I496" s="77"/>
      <c r="J496" s="17">
        <f>Source!AU430</f>
        <v>134</v>
      </c>
      <c r="K496" s="73">
        <f>SUM(V489:V497)</f>
        <v>1095.1400000000001</v>
      </c>
      <c r="L496" s="75"/>
    </row>
    <row r="497" spans="1:26" ht="14.25" x14ac:dyDescent="0.2">
      <c r="A497" s="20"/>
      <c r="B497" s="21"/>
      <c r="C497" s="21" t="s">
        <v>1210</v>
      </c>
      <c r="D497" s="78" t="s">
        <v>1211</v>
      </c>
      <c r="E497" s="79">
        <f>Source!AQ430</f>
        <v>36.96</v>
      </c>
      <c r="F497" s="80"/>
      <c r="G497" s="81" t="str">
        <f>Source!DI430</f>
        <v/>
      </c>
      <c r="H497" s="80"/>
      <c r="I497" s="81"/>
      <c r="J497" s="81"/>
      <c r="K497" s="80"/>
      <c r="L497" s="82">
        <f>Source!U430</f>
        <v>1.1088</v>
      </c>
    </row>
    <row r="498" spans="1:26" ht="15" x14ac:dyDescent="0.2">
      <c r="G498" s="83">
        <f>ROUND(Source!AC430*Source!I430, 2)+ROUND(Source!AF430*Source!I430, 2)+ROUND((((Source!ET430)-(Source!EU430))+Source!AE430)*Source!I430, 2)+SUM(H495:H496)</f>
        <v>1770.1599999999999</v>
      </c>
      <c r="H498" s="83"/>
      <c r="J498" s="83">
        <f>Source!O430+SUM(K495:K496)</f>
        <v>27488.37</v>
      </c>
      <c r="K498" s="83"/>
      <c r="L498" s="84">
        <f>Source!U430</f>
        <v>1.1088</v>
      </c>
      <c r="O498" s="85">
        <f>G498</f>
        <v>1770.1599999999999</v>
      </c>
      <c r="P498" s="85">
        <f>J498</f>
        <v>27488.37</v>
      </c>
      <c r="Q498" s="85">
        <f>L498</f>
        <v>1.1088</v>
      </c>
      <c r="W498" s="52">
        <f>IF(Source!BI430&lt;=1,G498, 0)</f>
        <v>1770.1599999999999</v>
      </c>
      <c r="X498" s="52">
        <f>IF(Source!BI430=2,G498, 0)</f>
        <v>0</v>
      </c>
      <c r="Y498" s="52">
        <f>IF(Source!BI430=3,G498, 0)</f>
        <v>0</v>
      </c>
      <c r="Z498" s="52">
        <f>IF(Source!BI430=4,G498, 0)</f>
        <v>0</v>
      </c>
    </row>
    <row r="499" spans="1:26" ht="28.5" x14ac:dyDescent="0.2">
      <c r="A499" s="16" t="str">
        <f>Source!E431</f>
        <v>58</v>
      </c>
      <c r="B499" s="17" t="str">
        <f>Source!F431</f>
        <v>27-06-026-1</v>
      </c>
      <c r="C499" s="17" t="str">
        <f>Source!G431</f>
        <v>Розлив вяжущих материалов</v>
      </c>
      <c r="D499" s="71" t="str">
        <f>Source!H431</f>
        <v>1 Т</v>
      </c>
      <c r="E499" s="72">
        <f>Source!I431</f>
        <v>2.1000000000000001E-2</v>
      </c>
      <c r="F499" s="73">
        <f>IF(Source!AK431&lt;&gt; 0, Source!AK431,Source!AL431 + Source!AM431 + Source!AO431)</f>
        <v>1847.04</v>
      </c>
      <c r="G499" s="74"/>
      <c r="H499" s="73"/>
      <c r="I499" s="74" t="str">
        <f>Source!BO431</f>
        <v>27-06-026-1</v>
      </c>
      <c r="J499" s="74"/>
      <c r="K499" s="73"/>
      <c r="L499" s="75"/>
      <c r="S499" s="52">
        <f>ROUND((Source!FX431/100)*((ROUND(Source!AF431*Source!I431, 2)+ROUND(Source!AE431*Source!I431, 2))), 2)</f>
        <v>0.19</v>
      </c>
      <c r="T499" s="52">
        <f>Source!X431</f>
        <v>6.95</v>
      </c>
      <c r="U499" s="52">
        <f>ROUND((Source!FY431/100)*((ROUND(Source!AF431*Source!I431, 2)+ROUND(Source!AE431*Source!I431, 2))), 2)</f>
        <v>0.17</v>
      </c>
      <c r="V499" s="52">
        <f>Source!Y431</f>
        <v>6.34</v>
      </c>
    </row>
    <row r="500" spans="1:26" ht="14.25" x14ac:dyDescent="0.2">
      <c r="A500" s="16"/>
      <c r="B500" s="17"/>
      <c r="C500" s="17" t="s">
        <v>103</v>
      </c>
      <c r="D500" s="71"/>
      <c r="E500" s="72"/>
      <c r="F500" s="73">
        <f>Source!AM431</f>
        <v>41.45</v>
      </c>
      <c r="G500" s="74" t="str">
        <f>Source!DE431</f>
        <v/>
      </c>
      <c r="H500" s="73">
        <f>ROUND((((Source!ET431)-(Source!EU431))+Source!AE431)*Source!I431, 2)</f>
        <v>0.87</v>
      </c>
      <c r="I500" s="74"/>
      <c r="J500" s="74">
        <f>IF(Source!BB431&lt;&gt; 0, Source!BB431, 1)</f>
        <v>12.29</v>
      </c>
      <c r="K500" s="73">
        <f>Source!Q431</f>
        <v>10.7</v>
      </c>
      <c r="L500" s="75"/>
    </row>
    <row r="501" spans="1:26" ht="14.25" x14ac:dyDescent="0.2">
      <c r="A501" s="16"/>
      <c r="B501" s="17"/>
      <c r="C501" s="17" t="s">
        <v>1212</v>
      </c>
      <c r="D501" s="71"/>
      <c r="E501" s="72"/>
      <c r="F501" s="73">
        <f>Source!AN431</f>
        <v>6.39</v>
      </c>
      <c r="G501" s="74" t="str">
        <f>Source!DF431</f>
        <v/>
      </c>
      <c r="H501" s="73">
        <f>ROUND(Source!AE431*Source!I431, 2)</f>
        <v>0.13</v>
      </c>
      <c r="I501" s="74"/>
      <c r="J501" s="74">
        <f>IF(Source!BS431&lt;&gt; 0, Source!BS431, 1)</f>
        <v>35.270000000000003</v>
      </c>
      <c r="K501" s="73">
        <f>Source!R431</f>
        <v>4.7300000000000004</v>
      </c>
      <c r="L501" s="75"/>
      <c r="R501" s="52">
        <f>H501</f>
        <v>0.13</v>
      </c>
    </row>
    <row r="502" spans="1:26" ht="14.25" x14ac:dyDescent="0.2">
      <c r="A502" s="16"/>
      <c r="B502" s="17"/>
      <c r="C502" s="17" t="s">
        <v>1213</v>
      </c>
      <c r="D502" s="71"/>
      <c r="E502" s="72"/>
      <c r="F502" s="73">
        <f>Source!AL431</f>
        <v>1805.59</v>
      </c>
      <c r="G502" s="74" t="str">
        <f>Source!DD431</f>
        <v/>
      </c>
      <c r="H502" s="73">
        <f>ROUND(Source!AC431*Source!I431, 2)</f>
        <v>37.92</v>
      </c>
      <c r="I502" s="74"/>
      <c r="J502" s="74">
        <f>IF(Source!BC431&lt;&gt; 0, Source!BC431, 1)</f>
        <v>22.13</v>
      </c>
      <c r="K502" s="73">
        <f>Source!P431</f>
        <v>839.11</v>
      </c>
      <c r="L502" s="75"/>
    </row>
    <row r="503" spans="1:26" ht="14.25" x14ac:dyDescent="0.2">
      <c r="A503" s="16"/>
      <c r="B503" s="17"/>
      <c r="C503" s="17" t="s">
        <v>1207</v>
      </c>
      <c r="D503" s="71" t="s">
        <v>1208</v>
      </c>
      <c r="E503" s="72">
        <f>Source!BZ431</f>
        <v>147</v>
      </c>
      <c r="F503" s="76"/>
      <c r="G503" s="74"/>
      <c r="H503" s="73">
        <f>SUM(S499:S504)</f>
        <v>0.19</v>
      </c>
      <c r="I503" s="77"/>
      <c r="J503" s="17">
        <f>Source!AT431</f>
        <v>147</v>
      </c>
      <c r="K503" s="73">
        <f>SUM(T499:T504)</f>
        <v>6.95</v>
      </c>
      <c r="L503" s="75"/>
    </row>
    <row r="504" spans="1:26" ht="14.25" x14ac:dyDescent="0.2">
      <c r="A504" s="20"/>
      <c r="B504" s="21"/>
      <c r="C504" s="21" t="s">
        <v>1209</v>
      </c>
      <c r="D504" s="78" t="s">
        <v>1208</v>
      </c>
      <c r="E504" s="79">
        <f>Source!CA431</f>
        <v>134</v>
      </c>
      <c r="F504" s="101"/>
      <c r="G504" s="81"/>
      <c r="H504" s="80">
        <f>SUM(U499:U504)</f>
        <v>0.17</v>
      </c>
      <c r="I504" s="102"/>
      <c r="J504" s="21">
        <f>Source!AU431</f>
        <v>134</v>
      </c>
      <c r="K504" s="80">
        <f>SUM(V499:V504)</f>
        <v>6.34</v>
      </c>
      <c r="L504" s="100"/>
    </row>
    <row r="505" spans="1:26" ht="15" x14ac:dyDescent="0.2">
      <c r="G505" s="83">
        <f>ROUND(Source!AC431*Source!I431, 2)+ROUND(Source!AF431*Source!I431, 2)+ROUND((((Source!ET431)-(Source!EU431))+Source!AE431)*Source!I431, 2)+SUM(H503:H504)</f>
        <v>39.15</v>
      </c>
      <c r="H505" s="83"/>
      <c r="J505" s="83">
        <f>Source!O431+SUM(K503:K504)</f>
        <v>863.09999999999991</v>
      </c>
      <c r="K505" s="83"/>
      <c r="L505" s="84">
        <f>Source!U431</f>
        <v>0</v>
      </c>
      <c r="O505" s="85">
        <f>G505</f>
        <v>39.15</v>
      </c>
      <c r="P505" s="85">
        <f>J505</f>
        <v>863.09999999999991</v>
      </c>
      <c r="Q505" s="85">
        <f>L505</f>
        <v>0</v>
      </c>
      <c r="W505" s="52">
        <f>IF(Source!BI431&lt;=1,G505, 0)</f>
        <v>39.15</v>
      </c>
      <c r="X505" s="52">
        <f>IF(Source!BI431=2,G505, 0)</f>
        <v>0</v>
      </c>
      <c r="Y505" s="52">
        <f>IF(Source!BI431=3,G505, 0)</f>
        <v>0</v>
      </c>
      <c r="Z505" s="52">
        <f>IF(Source!BI431=4,G505, 0)</f>
        <v>0</v>
      </c>
    </row>
    <row r="506" spans="1:26" ht="71.25" x14ac:dyDescent="0.2">
      <c r="A506" s="16" t="str">
        <f>Source!E432</f>
        <v>59</v>
      </c>
      <c r="B506" s="17" t="str">
        <f>Source!F432</f>
        <v>27-06-041-1</v>
      </c>
      <c r="C506" s="17" t="str">
        <f>Source!G432</f>
        <v>Устройство верхнего слоя основания или нижнего слоя покрытия из асфальтогранулобетонной смеси типа Э с применением асфальтоукладчика «TITAN-325» на толщину 10 см</v>
      </c>
      <c r="D506" s="71" t="str">
        <f>Source!H432</f>
        <v>1000 м2</v>
      </c>
      <c r="E506" s="72">
        <f>Source!I432</f>
        <v>0.03</v>
      </c>
      <c r="F506" s="73">
        <f>IF(Source!AK432&lt;&gt; 0, Source!AK432,Source!AL432 + Source!AM432 + Source!AO432)</f>
        <v>12932.19</v>
      </c>
      <c r="G506" s="74"/>
      <c r="H506" s="73"/>
      <c r="I506" s="74" t="str">
        <f>Source!BO432</f>
        <v>27-06-041-1</v>
      </c>
      <c r="J506" s="74"/>
      <c r="K506" s="73"/>
      <c r="L506" s="75"/>
      <c r="S506" s="52">
        <f>ROUND((Source!FX432/100)*((ROUND(Source!AF432*Source!I432, 2)+ROUND(Source!AE432*Source!I432, 2))), 2)</f>
        <v>28.59</v>
      </c>
      <c r="T506" s="52">
        <f>Source!X432</f>
        <v>1008.57</v>
      </c>
      <c r="U506" s="52">
        <f>ROUND((Source!FY432/100)*((ROUND(Source!AF432*Source!I432, 2)+ROUND(Source!AE432*Source!I432, 2))), 2)</f>
        <v>26.06</v>
      </c>
      <c r="V506" s="52">
        <f>Source!Y432</f>
        <v>919.37</v>
      </c>
    </row>
    <row r="507" spans="1:26" x14ac:dyDescent="0.2">
      <c r="C507" s="18" t="str">
        <f>"Объем: "&amp;Source!I432&amp;"=30/"&amp;"1000"</f>
        <v>Объем: 0,03=30/1000</v>
      </c>
    </row>
    <row r="508" spans="1:26" ht="14.25" x14ac:dyDescent="0.2">
      <c r="A508" s="16"/>
      <c r="B508" s="17"/>
      <c r="C508" s="17" t="s">
        <v>1206</v>
      </c>
      <c r="D508" s="71"/>
      <c r="E508" s="72"/>
      <c r="F508" s="73">
        <f>Source!AO432</f>
        <v>347.69</v>
      </c>
      <c r="G508" s="74" t="str">
        <f>Source!DG432</f>
        <v/>
      </c>
      <c r="H508" s="73">
        <f>ROUND(Source!AF432*Source!I432, 2)</f>
        <v>10.43</v>
      </c>
      <c r="I508" s="74"/>
      <c r="J508" s="74">
        <f>IF(Source!BA432&lt;&gt; 0, Source!BA432, 1)</f>
        <v>35.270000000000003</v>
      </c>
      <c r="K508" s="73">
        <f>Source!S432</f>
        <v>367.89</v>
      </c>
      <c r="L508" s="75"/>
      <c r="R508" s="52">
        <f>H508</f>
        <v>10.43</v>
      </c>
    </row>
    <row r="509" spans="1:26" ht="14.25" x14ac:dyDescent="0.2">
      <c r="A509" s="16"/>
      <c r="B509" s="17"/>
      <c r="C509" s="17" t="s">
        <v>103</v>
      </c>
      <c r="D509" s="71"/>
      <c r="E509" s="72"/>
      <c r="F509" s="73">
        <f>Source!AM432</f>
        <v>11006.36</v>
      </c>
      <c r="G509" s="74" t="str">
        <f>Source!DE432</f>
        <v/>
      </c>
      <c r="H509" s="73">
        <f>ROUND((((Source!ET432)-(Source!EU432))+Source!AE432)*Source!I432, 2)</f>
        <v>330.19</v>
      </c>
      <c r="I509" s="74"/>
      <c r="J509" s="74">
        <f>IF(Source!BB432&lt;&gt; 0, Source!BB432, 1)</f>
        <v>6.51</v>
      </c>
      <c r="K509" s="73">
        <f>Source!Q432</f>
        <v>2149.54</v>
      </c>
      <c r="L509" s="75"/>
    </row>
    <row r="510" spans="1:26" ht="14.25" x14ac:dyDescent="0.2">
      <c r="A510" s="16"/>
      <c r="B510" s="17"/>
      <c r="C510" s="17" t="s">
        <v>1212</v>
      </c>
      <c r="D510" s="71"/>
      <c r="E510" s="72"/>
      <c r="F510" s="73">
        <f>Source!AN432</f>
        <v>300.74</v>
      </c>
      <c r="G510" s="74" t="str">
        <f>Source!DF432</f>
        <v/>
      </c>
      <c r="H510" s="73">
        <f>ROUND(Source!AE432*Source!I432, 2)</f>
        <v>9.02</v>
      </c>
      <c r="I510" s="74"/>
      <c r="J510" s="74">
        <f>IF(Source!BS432&lt;&gt; 0, Source!BS432, 1)</f>
        <v>35.270000000000003</v>
      </c>
      <c r="K510" s="73">
        <f>Source!R432</f>
        <v>318.20999999999998</v>
      </c>
      <c r="L510" s="75"/>
      <c r="R510" s="52">
        <f>H510</f>
        <v>9.02</v>
      </c>
    </row>
    <row r="511" spans="1:26" ht="14.25" x14ac:dyDescent="0.2">
      <c r="A511" s="16"/>
      <c r="B511" s="17"/>
      <c r="C511" s="17" t="s">
        <v>1213</v>
      </c>
      <c r="D511" s="71"/>
      <c r="E511" s="72"/>
      <c r="F511" s="73">
        <f>Source!AL432</f>
        <v>1578.14</v>
      </c>
      <c r="G511" s="74" t="str">
        <f>Source!DD432</f>
        <v/>
      </c>
      <c r="H511" s="73">
        <f>ROUND(Source!AC432*Source!I432, 2)</f>
        <v>47.34</v>
      </c>
      <c r="I511" s="74"/>
      <c r="J511" s="74">
        <f>IF(Source!BC432&lt;&gt; 0, Source!BC432, 1)</f>
        <v>21.17</v>
      </c>
      <c r="K511" s="73">
        <f>Source!P432</f>
        <v>1002.28</v>
      </c>
      <c r="L511" s="75"/>
    </row>
    <row r="512" spans="1:26" ht="14.25" x14ac:dyDescent="0.2">
      <c r="A512" s="16"/>
      <c r="B512" s="17"/>
      <c r="C512" s="17" t="s">
        <v>1207</v>
      </c>
      <c r="D512" s="71" t="s">
        <v>1208</v>
      </c>
      <c r="E512" s="72">
        <f>Source!BZ432</f>
        <v>147</v>
      </c>
      <c r="F512" s="76"/>
      <c r="G512" s="74"/>
      <c r="H512" s="73">
        <f>SUM(S506:S514)</f>
        <v>28.59</v>
      </c>
      <c r="I512" s="77"/>
      <c r="J512" s="17">
        <f>Source!AT432</f>
        <v>147</v>
      </c>
      <c r="K512" s="73">
        <f>SUM(T506:T514)</f>
        <v>1008.57</v>
      </c>
      <c r="L512" s="75"/>
    </row>
    <row r="513" spans="1:26" ht="14.25" x14ac:dyDescent="0.2">
      <c r="A513" s="16"/>
      <c r="B513" s="17"/>
      <c r="C513" s="17" t="s">
        <v>1209</v>
      </c>
      <c r="D513" s="71" t="s">
        <v>1208</v>
      </c>
      <c r="E513" s="72">
        <f>Source!CA432</f>
        <v>134</v>
      </c>
      <c r="F513" s="76"/>
      <c r="G513" s="74"/>
      <c r="H513" s="73">
        <f>SUM(U506:U514)</f>
        <v>26.06</v>
      </c>
      <c r="I513" s="77"/>
      <c r="J513" s="17">
        <f>Source!AU432</f>
        <v>134</v>
      </c>
      <c r="K513" s="73">
        <f>SUM(V506:V514)</f>
        <v>919.37</v>
      </c>
      <c r="L513" s="75"/>
    </row>
    <row r="514" spans="1:26" ht="14.25" x14ac:dyDescent="0.2">
      <c r="A514" s="20"/>
      <c r="B514" s="21"/>
      <c r="C514" s="21" t="s">
        <v>1210</v>
      </c>
      <c r="D514" s="78" t="s">
        <v>1211</v>
      </c>
      <c r="E514" s="79">
        <f>Source!AQ432</f>
        <v>41.49</v>
      </c>
      <c r="F514" s="80"/>
      <c r="G514" s="81" t="str">
        <f>Source!DI432</f>
        <v/>
      </c>
      <c r="H514" s="80"/>
      <c r="I514" s="81"/>
      <c r="J514" s="81"/>
      <c r="K514" s="80"/>
      <c r="L514" s="82">
        <f>Source!U432</f>
        <v>1.2446999999999999</v>
      </c>
    </row>
    <row r="515" spans="1:26" ht="15" x14ac:dyDescent="0.2">
      <c r="G515" s="83">
        <f>ROUND(Source!AC432*Source!I432, 2)+ROUND(Source!AF432*Source!I432, 2)+ROUND((((Source!ET432)-(Source!EU432))+Source!AE432)*Source!I432, 2)+SUM(H512:H513)</f>
        <v>442.60999999999996</v>
      </c>
      <c r="H515" s="83"/>
      <c r="J515" s="83">
        <f>Source!O432+SUM(K512:K513)</f>
        <v>5447.65</v>
      </c>
      <c r="K515" s="83"/>
      <c r="L515" s="84">
        <f>Source!U432</f>
        <v>1.2446999999999999</v>
      </c>
      <c r="O515" s="85">
        <f>G515</f>
        <v>442.60999999999996</v>
      </c>
      <c r="P515" s="85">
        <f>J515</f>
        <v>5447.65</v>
      </c>
      <c r="Q515" s="85">
        <f>L515</f>
        <v>1.2446999999999999</v>
      </c>
      <c r="W515" s="52">
        <f>IF(Source!BI432&lt;=1,G515, 0)</f>
        <v>442.60999999999996</v>
      </c>
      <c r="X515" s="52">
        <f>IF(Source!BI432=2,G515, 0)</f>
        <v>0</v>
      </c>
      <c r="Y515" s="52">
        <f>IF(Source!BI432=3,G515, 0)</f>
        <v>0</v>
      </c>
      <c r="Z515" s="52">
        <f>IF(Source!BI432=4,G515, 0)</f>
        <v>0</v>
      </c>
    </row>
    <row r="516" spans="1:26" ht="14.25" x14ac:dyDescent="0.2">
      <c r="A516" s="16" t="str">
        <f>Source!E433</f>
        <v>60</v>
      </c>
      <c r="B516" s="17" t="str">
        <f>Source!F433</f>
        <v>410-0111</v>
      </c>
      <c r="C516" s="17" t="str">
        <f>Source!G433</f>
        <v>Лом асфальтобетона</v>
      </c>
      <c r="D516" s="71" t="str">
        <f>Source!H433</f>
        <v>т</v>
      </c>
      <c r="E516" s="72">
        <f>Source!I433</f>
        <v>6.6</v>
      </c>
      <c r="F516" s="73">
        <f>IF(Source!AK433&lt;&gt; 0, Source!AK433,Source!AL433 + Source!AM433 + Source!AO433)</f>
        <v>52.05</v>
      </c>
      <c r="G516" s="74"/>
      <c r="H516" s="73"/>
      <c r="I516" s="74" t="str">
        <f>Source!BO433</f>
        <v>410-0111</v>
      </c>
      <c r="J516" s="74"/>
      <c r="K516" s="73"/>
      <c r="L516" s="75"/>
      <c r="S516" s="52">
        <f>ROUND((Source!FX433/100)*((ROUND(Source!AF433*Source!I433, 2)+ROUND(Source!AE433*Source!I433, 2))), 2)</f>
        <v>0</v>
      </c>
      <c r="T516" s="52">
        <f>Source!X433</f>
        <v>0</v>
      </c>
      <c r="U516" s="52">
        <f>ROUND((Source!FY433/100)*((ROUND(Source!AF433*Source!I433, 2)+ROUND(Source!AE433*Source!I433, 2))), 2)</f>
        <v>0</v>
      </c>
      <c r="V516" s="52">
        <f>Source!Y433</f>
        <v>0</v>
      </c>
    </row>
    <row r="517" spans="1:26" ht="14.25" x14ac:dyDescent="0.2">
      <c r="A517" s="20"/>
      <c r="B517" s="21"/>
      <c r="C517" s="21" t="s">
        <v>1213</v>
      </c>
      <c r="D517" s="78"/>
      <c r="E517" s="79"/>
      <c r="F517" s="80">
        <f>Source!AL433</f>
        <v>52.05</v>
      </c>
      <c r="G517" s="81" t="str">
        <f>Source!DD433</f>
        <v/>
      </c>
      <c r="H517" s="80">
        <f>ROUND(Source!AC433*Source!I433, 2)</f>
        <v>343.53</v>
      </c>
      <c r="I517" s="81"/>
      <c r="J517" s="81">
        <f>IF(Source!BC433&lt;&gt; 0, Source!BC433, 1)</f>
        <v>11.94</v>
      </c>
      <c r="K517" s="80">
        <f>Source!P433</f>
        <v>4101.75</v>
      </c>
      <c r="L517" s="100"/>
    </row>
    <row r="518" spans="1:26" ht="15" x14ac:dyDescent="0.2">
      <c r="G518" s="83">
        <f>ROUND(Source!AC433*Source!I433, 2)+ROUND(Source!AF433*Source!I433, 2)+ROUND((((Source!ET433)-(Source!EU433))+Source!AE433)*Source!I433, 2)</f>
        <v>343.53</v>
      </c>
      <c r="H518" s="83"/>
      <c r="J518" s="83">
        <f>Source!O433</f>
        <v>4101.75</v>
      </c>
      <c r="K518" s="83"/>
      <c r="L518" s="84">
        <f>Source!U433</f>
        <v>0</v>
      </c>
      <c r="O518" s="85">
        <f>G518</f>
        <v>343.53</v>
      </c>
      <c r="P518" s="85">
        <f>J518</f>
        <v>4101.75</v>
      </c>
      <c r="Q518" s="85">
        <f>L518</f>
        <v>0</v>
      </c>
      <c r="W518" s="52">
        <f>IF(Source!BI433&lt;=1,G518, 0)</f>
        <v>343.53</v>
      </c>
      <c r="X518" s="52">
        <f>IF(Source!BI433=2,G518, 0)</f>
        <v>0</v>
      </c>
      <c r="Y518" s="52">
        <f>IF(Source!BI433=3,G518, 0)</f>
        <v>0</v>
      </c>
      <c r="Z518" s="52">
        <f>IF(Source!BI433=4,G518, 0)</f>
        <v>0</v>
      </c>
    </row>
    <row r="519" spans="1:26" ht="28.5" x14ac:dyDescent="0.2">
      <c r="A519" s="16" t="str">
        <f>Source!E436</f>
        <v>61</v>
      </c>
      <c r="B519" s="17" t="str">
        <f>Source!F436</f>
        <v>01-01-047-2</v>
      </c>
      <c r="C519" s="17" t="str">
        <f>Source!G436</f>
        <v>Устройство сливной призмы и кюветов в выемках, группа грунтов 2</v>
      </c>
      <c r="D519" s="71" t="str">
        <f>Source!H436</f>
        <v>100 м3 грунта</v>
      </c>
      <c r="E519" s="72">
        <f>Source!I436</f>
        <v>0.126</v>
      </c>
      <c r="F519" s="73">
        <f>IF(Source!AK436&lt;&gt; 0, Source!AK436,Source!AL436 + Source!AM436 + Source!AO436)</f>
        <v>1716.68</v>
      </c>
      <c r="G519" s="74"/>
      <c r="H519" s="73"/>
      <c r="I519" s="74" t="str">
        <f>Source!BO436</f>
        <v>01-01-047-2</v>
      </c>
      <c r="J519" s="74"/>
      <c r="K519" s="73"/>
      <c r="L519" s="75"/>
      <c r="S519" s="52">
        <f>ROUND((Source!FX436/100)*((ROUND(Source!AF436*Source!I436, 2)+ROUND(Source!AE436*Source!I436, 2))), 2)</f>
        <v>56.31</v>
      </c>
      <c r="T519" s="52">
        <f>Source!X436</f>
        <v>1986.15</v>
      </c>
      <c r="U519" s="52">
        <f>ROUND((Source!FY436/100)*((ROUND(Source!AF436*Source!I436, 2)+ROUND(Source!AE436*Source!I436, 2))), 2)</f>
        <v>28.16</v>
      </c>
      <c r="V519" s="52">
        <f>Source!Y436</f>
        <v>993.08</v>
      </c>
    </row>
    <row r="520" spans="1:26" x14ac:dyDescent="0.2">
      <c r="C520" s="18" t="str">
        <f>"Объем: "&amp;Source!I436&amp;"=12,6/"&amp;"100"</f>
        <v>Объем: 0,126=12,6/100</v>
      </c>
    </row>
    <row r="521" spans="1:26" ht="14.25" x14ac:dyDescent="0.2">
      <c r="A521" s="16"/>
      <c r="B521" s="17"/>
      <c r="C521" s="17" t="s">
        <v>1206</v>
      </c>
      <c r="D521" s="71"/>
      <c r="E521" s="72"/>
      <c r="F521" s="73">
        <f>Source!AO436</f>
        <v>366.06</v>
      </c>
      <c r="G521" s="74" t="str">
        <f>Source!DG436</f>
        <v/>
      </c>
      <c r="H521" s="73">
        <f>ROUND(Source!AF436*Source!I436, 2)</f>
        <v>46.12</v>
      </c>
      <c r="I521" s="74"/>
      <c r="J521" s="74">
        <f>IF(Source!BA436&lt;&gt; 0, Source!BA436, 1)</f>
        <v>35.270000000000003</v>
      </c>
      <c r="K521" s="73">
        <f>Source!S436</f>
        <v>1626.78</v>
      </c>
      <c r="L521" s="75"/>
      <c r="R521" s="52">
        <f>H521</f>
        <v>46.12</v>
      </c>
    </row>
    <row r="522" spans="1:26" ht="14.25" x14ac:dyDescent="0.2">
      <c r="A522" s="16"/>
      <c r="B522" s="17"/>
      <c r="C522" s="17" t="s">
        <v>103</v>
      </c>
      <c r="D522" s="71"/>
      <c r="E522" s="72"/>
      <c r="F522" s="73">
        <f>Source!AM436</f>
        <v>1350.62</v>
      </c>
      <c r="G522" s="74" t="str">
        <f>Source!DE436</f>
        <v/>
      </c>
      <c r="H522" s="73">
        <f>ROUND((((Source!ET436)-(Source!EU436))+Source!AE436)*Source!I436, 2)</f>
        <v>170.18</v>
      </c>
      <c r="I522" s="74"/>
      <c r="J522" s="74">
        <f>IF(Source!BB436&lt;&gt; 0, Source!BB436, 1)</f>
        <v>11.26</v>
      </c>
      <c r="K522" s="73">
        <f>Source!Q436</f>
        <v>1916.21</v>
      </c>
      <c r="L522" s="75"/>
    </row>
    <row r="523" spans="1:26" ht="14.25" x14ac:dyDescent="0.2">
      <c r="A523" s="16"/>
      <c r="B523" s="17"/>
      <c r="C523" s="17" t="s">
        <v>1212</v>
      </c>
      <c r="D523" s="71"/>
      <c r="E523" s="72"/>
      <c r="F523" s="73">
        <f>Source!AN436</f>
        <v>119.73</v>
      </c>
      <c r="G523" s="74" t="str">
        <f>Source!DF436</f>
        <v/>
      </c>
      <c r="H523" s="73">
        <f>ROUND(Source!AE436*Source!I436, 2)</f>
        <v>15.09</v>
      </c>
      <c r="I523" s="74"/>
      <c r="J523" s="74">
        <f>IF(Source!BS436&lt;&gt; 0, Source!BS436, 1)</f>
        <v>35.270000000000003</v>
      </c>
      <c r="K523" s="73">
        <f>Source!R436</f>
        <v>532.08000000000004</v>
      </c>
      <c r="L523" s="75"/>
      <c r="R523" s="52">
        <f>H523</f>
        <v>15.09</v>
      </c>
    </row>
    <row r="524" spans="1:26" ht="14.25" x14ac:dyDescent="0.2">
      <c r="A524" s="16"/>
      <c r="B524" s="17"/>
      <c r="C524" s="17" t="s">
        <v>1207</v>
      </c>
      <c r="D524" s="71" t="s">
        <v>1208</v>
      </c>
      <c r="E524" s="72">
        <f>Source!BZ436</f>
        <v>92</v>
      </c>
      <c r="F524" s="76"/>
      <c r="G524" s="74"/>
      <c r="H524" s="73">
        <f>SUM(S519:S526)</f>
        <v>56.31</v>
      </c>
      <c r="I524" s="77"/>
      <c r="J524" s="17">
        <f>Source!AT436</f>
        <v>92</v>
      </c>
      <c r="K524" s="73">
        <f>SUM(T519:T526)</f>
        <v>1986.15</v>
      </c>
      <c r="L524" s="75"/>
    </row>
    <row r="525" spans="1:26" ht="14.25" x14ac:dyDescent="0.2">
      <c r="A525" s="16"/>
      <c r="B525" s="17"/>
      <c r="C525" s="17" t="s">
        <v>1209</v>
      </c>
      <c r="D525" s="71" t="s">
        <v>1208</v>
      </c>
      <c r="E525" s="72">
        <f>Source!CA436</f>
        <v>46</v>
      </c>
      <c r="F525" s="76"/>
      <c r="G525" s="74"/>
      <c r="H525" s="73">
        <f>SUM(U519:U526)</f>
        <v>28.16</v>
      </c>
      <c r="I525" s="77"/>
      <c r="J525" s="17">
        <f>Source!AU436</f>
        <v>46</v>
      </c>
      <c r="K525" s="73">
        <f>SUM(V519:V526)</f>
        <v>993.08</v>
      </c>
      <c r="L525" s="75"/>
    </row>
    <row r="526" spans="1:26" ht="14.25" x14ac:dyDescent="0.2">
      <c r="A526" s="20"/>
      <c r="B526" s="21"/>
      <c r="C526" s="21" t="s">
        <v>1210</v>
      </c>
      <c r="D526" s="78" t="s">
        <v>1211</v>
      </c>
      <c r="E526" s="79">
        <f>Source!AQ436</f>
        <v>45.93</v>
      </c>
      <c r="F526" s="80"/>
      <c r="G526" s="81" t="str">
        <f>Source!DI436</f>
        <v/>
      </c>
      <c r="H526" s="80"/>
      <c r="I526" s="81"/>
      <c r="J526" s="81"/>
      <c r="K526" s="80"/>
      <c r="L526" s="82">
        <f>Source!U436</f>
        <v>5.7871800000000002</v>
      </c>
    </row>
    <row r="527" spans="1:26" ht="15" x14ac:dyDescent="0.2">
      <c r="G527" s="83">
        <f>ROUND(Source!AC436*Source!I436, 2)+ROUND(Source!AF436*Source!I436, 2)+ROUND((((Source!ET436)-(Source!EU436))+Source!AE436)*Source!I436, 2)+SUM(H524:H525)</f>
        <v>300.77</v>
      </c>
      <c r="H527" s="83"/>
      <c r="J527" s="83">
        <f>Source!O436+SUM(K524:K525)</f>
        <v>6522.2199999999993</v>
      </c>
      <c r="K527" s="83"/>
      <c r="L527" s="84">
        <f>Source!U436</f>
        <v>5.7871800000000002</v>
      </c>
      <c r="O527" s="85">
        <f>G527</f>
        <v>300.77</v>
      </c>
      <c r="P527" s="85">
        <f>J527</f>
        <v>6522.2199999999993</v>
      </c>
      <c r="Q527" s="85">
        <f>L527</f>
        <v>5.7871800000000002</v>
      </c>
      <c r="W527" s="52">
        <f>IF(Source!BI436&lt;=1,G527, 0)</f>
        <v>300.77</v>
      </c>
      <c r="X527" s="52">
        <f>IF(Source!BI436=2,G527, 0)</f>
        <v>0</v>
      </c>
      <c r="Y527" s="52">
        <f>IF(Source!BI436=3,G527, 0)</f>
        <v>0</v>
      </c>
      <c r="Z527" s="52">
        <f>IF(Source!BI436=4,G527, 0)</f>
        <v>0</v>
      </c>
    </row>
    <row r="529" spans="1:33" ht="15" x14ac:dyDescent="0.2">
      <c r="A529" s="86" t="str">
        <f>CONCATENATE("Итого по разделу: ", Source!G438)</f>
        <v>Итого по разделу: Заезд</v>
      </c>
      <c r="B529" s="86"/>
      <c r="C529" s="86"/>
      <c r="D529" s="86"/>
      <c r="E529" s="86"/>
      <c r="F529" s="86"/>
      <c r="G529" s="83">
        <f>SUM(O465:O528)</f>
        <v>3407.0899999999997</v>
      </c>
      <c r="H529" s="64"/>
      <c r="I529" s="87"/>
      <c r="J529" s="83">
        <f>SUM(P465:P528)</f>
        <v>53980.35</v>
      </c>
      <c r="K529" s="64"/>
      <c r="L529" s="84">
        <f>SUM(Q465:Q528)</f>
        <v>9.2051280000000002</v>
      </c>
      <c r="AG529" s="88" t="str">
        <f>CONCATENATE("Итого по разделу: ", Source!G438)</f>
        <v>Итого по разделу: Заезд</v>
      </c>
    </row>
    <row r="531" spans="1:33" ht="14.25" x14ac:dyDescent="0.2">
      <c r="C531" s="17" t="str">
        <f>Source!H467</f>
        <v>ОЗП</v>
      </c>
      <c r="J531" s="65">
        <f>Source!F467</f>
        <v>2571.7199999999998</v>
      </c>
      <c r="K531" s="65"/>
    </row>
    <row r="532" spans="1:33" ht="14.25" x14ac:dyDescent="0.2">
      <c r="C532" s="17" t="str">
        <f>Source!H468</f>
        <v>ЭММ, в т.ч. ЗПМ</v>
      </c>
      <c r="J532" s="65">
        <f>Source!F468</f>
        <v>9954.6</v>
      </c>
      <c r="K532" s="65"/>
    </row>
    <row r="533" spans="1:33" ht="14.25" x14ac:dyDescent="0.2">
      <c r="C533" s="17" t="str">
        <f>Source!H469</f>
        <v>Стоимость материалов</v>
      </c>
      <c r="J533" s="65">
        <f>Source!F469</f>
        <v>32358.49</v>
      </c>
      <c r="K533" s="65"/>
    </row>
    <row r="534" spans="1:33" ht="14.25" x14ac:dyDescent="0.2">
      <c r="C534" s="17" t="str">
        <f>Source!H470</f>
        <v>НР</v>
      </c>
      <c r="J534" s="65">
        <f>Source!F470</f>
        <v>5278.23</v>
      </c>
      <c r="K534" s="65"/>
    </row>
    <row r="535" spans="1:33" ht="14.25" x14ac:dyDescent="0.2">
      <c r="C535" s="17" t="str">
        <f>Source!H471</f>
        <v>СП</v>
      </c>
      <c r="J535" s="65">
        <f>Source!F471</f>
        <v>3817.31</v>
      </c>
      <c r="K535" s="65"/>
    </row>
    <row r="536" spans="1:33" ht="14.25" x14ac:dyDescent="0.2">
      <c r="C536" s="17" t="str">
        <f>Source!H472</f>
        <v>Всего</v>
      </c>
      <c r="J536" s="65">
        <f>Source!F472</f>
        <v>53980.35</v>
      </c>
      <c r="K536" s="65"/>
    </row>
    <row r="537" spans="1:33" ht="14.25" x14ac:dyDescent="0.2">
      <c r="C537" s="17" t="str">
        <f>Source!H473</f>
        <v>НДС 20%</v>
      </c>
      <c r="J537" s="65">
        <f>Source!F473</f>
        <v>10796.07</v>
      </c>
      <c r="K537" s="65"/>
    </row>
    <row r="538" spans="1:33" ht="14.25" x14ac:dyDescent="0.2">
      <c r="C538" s="17" t="str">
        <f>Source!H474</f>
        <v>Итого с НДС</v>
      </c>
      <c r="J538" s="65">
        <f>Source!F474</f>
        <v>64776.42</v>
      </c>
      <c r="K538" s="65"/>
    </row>
    <row r="541" spans="1:33" ht="16.5" x14ac:dyDescent="0.2">
      <c r="A541" s="69" t="str">
        <f>CONCATENATE("Раздел: ", Source!G476)</f>
        <v>Раздел: Туалет</v>
      </c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AE541" s="70" t="str">
        <f>CONCATENATE("Раздел: ", Source!G476)</f>
        <v>Раздел: Туалет</v>
      </c>
    </row>
    <row r="542" spans="1:33" ht="71.25" x14ac:dyDescent="0.2">
      <c r="A542" s="16" t="str">
        <f>Source!E480</f>
        <v>62</v>
      </c>
      <c r="B542" s="17" t="str">
        <f>Source!F480</f>
        <v>01-01-004-5</v>
      </c>
      <c r="C542" s="17" t="str">
        <f>Source!G480</f>
        <v>Разработка грунта в отвал экскаваторами «драглайн» или «обратная лопата» с ковшом вместимостью 0,25 м3, группа грунтов 2</v>
      </c>
      <c r="D542" s="71" t="str">
        <f>Source!H480</f>
        <v>1000 м3 грунта</v>
      </c>
      <c r="E542" s="72">
        <f>Source!I480</f>
        <v>3.3999999999999998E-3</v>
      </c>
      <c r="F542" s="73">
        <f>IF(Source!AK480&lt;&gt; 0, Source!AK480,Source!AL480 + Source!AM480 + Source!AO480)</f>
        <v>4441.99</v>
      </c>
      <c r="G542" s="74"/>
      <c r="H542" s="73"/>
      <c r="I542" s="74" t="str">
        <f>Source!BO480</f>
        <v>01-01-004-5</v>
      </c>
      <c r="J542" s="74"/>
      <c r="K542" s="73"/>
      <c r="L542" s="75"/>
      <c r="S542" s="52">
        <f>ROUND((Source!FX480/100)*((ROUND(Source!AF480*Source!I480, 2)+ROUND(Source!AE480*Source!I480, 2))), 2)</f>
        <v>2.2000000000000002</v>
      </c>
      <c r="T542" s="52">
        <f>Source!X480</f>
        <v>77.44</v>
      </c>
      <c r="U542" s="52">
        <f>ROUND((Source!FY480/100)*((ROUND(Source!AF480*Source!I480, 2)+ROUND(Source!AE480*Source!I480, 2))), 2)</f>
        <v>1.1000000000000001</v>
      </c>
      <c r="V542" s="52">
        <f>Source!Y480</f>
        <v>38.72</v>
      </c>
    </row>
    <row r="543" spans="1:33" x14ac:dyDescent="0.2">
      <c r="C543" s="18" t="str">
        <f>"Объем: "&amp;Source!I480&amp;"=3,4/"&amp;"1000"</f>
        <v>Объем: 0,0034=3,4/1000</v>
      </c>
    </row>
    <row r="544" spans="1:33" ht="14.25" x14ac:dyDescent="0.2">
      <c r="A544" s="16"/>
      <c r="B544" s="17"/>
      <c r="C544" s="17" t="s">
        <v>1206</v>
      </c>
      <c r="D544" s="71"/>
      <c r="E544" s="72"/>
      <c r="F544" s="73">
        <f>Source!AO480</f>
        <v>93.75</v>
      </c>
      <c r="G544" s="74" t="str">
        <f>Source!DG480</f>
        <v/>
      </c>
      <c r="H544" s="73">
        <f>ROUND(Source!AF480*Source!I480, 2)</f>
        <v>0.32</v>
      </c>
      <c r="I544" s="74"/>
      <c r="J544" s="74">
        <f>IF(Source!BA480&lt;&gt; 0, Source!BA480, 1)</f>
        <v>35.270000000000003</v>
      </c>
      <c r="K544" s="73">
        <f>Source!S480</f>
        <v>11.24</v>
      </c>
      <c r="L544" s="75"/>
      <c r="R544" s="52">
        <f>H544</f>
        <v>0.32</v>
      </c>
    </row>
    <row r="545" spans="1:28" ht="14.25" x14ac:dyDescent="0.2">
      <c r="A545" s="16"/>
      <c r="B545" s="17"/>
      <c r="C545" s="17" t="s">
        <v>103</v>
      </c>
      <c r="D545" s="71"/>
      <c r="E545" s="72"/>
      <c r="F545" s="73">
        <f>Source!AM480</f>
        <v>4348.24</v>
      </c>
      <c r="G545" s="74" t="str">
        <f>Source!DE480</f>
        <v/>
      </c>
      <c r="H545" s="73">
        <f>ROUND((((Source!ET480)-(Source!EU480))+Source!AE480)*Source!I480, 2)</f>
        <v>14.78</v>
      </c>
      <c r="I545" s="74"/>
      <c r="J545" s="74">
        <f>IF(Source!BB480&lt;&gt; 0, Source!BB480, 1)</f>
        <v>18.87</v>
      </c>
      <c r="K545" s="73">
        <f>Source!Q480</f>
        <v>278.97000000000003</v>
      </c>
      <c r="L545" s="75"/>
    </row>
    <row r="546" spans="1:28" ht="14.25" x14ac:dyDescent="0.2">
      <c r="A546" s="16"/>
      <c r="B546" s="17"/>
      <c r="C546" s="17" t="s">
        <v>1212</v>
      </c>
      <c r="D546" s="71"/>
      <c r="E546" s="72"/>
      <c r="F546" s="73">
        <f>Source!AN480</f>
        <v>608.16999999999996</v>
      </c>
      <c r="G546" s="74" t="str">
        <f>Source!DF480</f>
        <v/>
      </c>
      <c r="H546" s="73">
        <f>ROUND(Source!AE480*Source!I480, 2)</f>
        <v>2.0699999999999998</v>
      </c>
      <c r="I546" s="74"/>
      <c r="J546" s="74">
        <f>IF(Source!BS480&lt;&gt; 0, Source!BS480, 1)</f>
        <v>35.270000000000003</v>
      </c>
      <c r="K546" s="73">
        <f>Source!R480</f>
        <v>72.930000000000007</v>
      </c>
      <c r="L546" s="75"/>
      <c r="R546" s="52">
        <f>H546</f>
        <v>2.0699999999999998</v>
      </c>
    </row>
    <row r="547" spans="1:28" ht="14.25" x14ac:dyDescent="0.2">
      <c r="A547" s="16"/>
      <c r="B547" s="17"/>
      <c r="C547" s="17" t="s">
        <v>1207</v>
      </c>
      <c r="D547" s="71" t="s">
        <v>1208</v>
      </c>
      <c r="E547" s="72">
        <f>Source!BZ480</f>
        <v>92</v>
      </c>
      <c r="F547" s="76"/>
      <c r="G547" s="74"/>
      <c r="H547" s="73">
        <f>SUM(S542:S549)</f>
        <v>2.2000000000000002</v>
      </c>
      <c r="I547" s="77"/>
      <c r="J547" s="17">
        <f>Source!AT480</f>
        <v>92</v>
      </c>
      <c r="K547" s="73">
        <f>SUM(T542:T549)</f>
        <v>77.44</v>
      </c>
      <c r="L547" s="75"/>
    </row>
    <row r="548" spans="1:28" ht="14.25" x14ac:dyDescent="0.2">
      <c r="A548" s="16"/>
      <c r="B548" s="17"/>
      <c r="C548" s="17" t="s">
        <v>1209</v>
      </c>
      <c r="D548" s="71" t="s">
        <v>1208</v>
      </c>
      <c r="E548" s="72">
        <f>Source!CA480</f>
        <v>46</v>
      </c>
      <c r="F548" s="76"/>
      <c r="G548" s="74"/>
      <c r="H548" s="73">
        <f>SUM(U542:U549)</f>
        <v>1.1000000000000001</v>
      </c>
      <c r="I548" s="77"/>
      <c r="J548" s="17">
        <f>Source!AU480</f>
        <v>46</v>
      </c>
      <c r="K548" s="73">
        <f>SUM(V542:V549)</f>
        <v>38.72</v>
      </c>
      <c r="L548" s="75"/>
    </row>
    <row r="549" spans="1:28" ht="14.25" x14ac:dyDescent="0.2">
      <c r="A549" s="20"/>
      <c r="B549" s="21"/>
      <c r="C549" s="21" t="s">
        <v>1210</v>
      </c>
      <c r="D549" s="78" t="s">
        <v>1211</v>
      </c>
      <c r="E549" s="79">
        <f>Source!AQ480</f>
        <v>12.86</v>
      </c>
      <c r="F549" s="80"/>
      <c r="G549" s="81" t="str">
        <f>Source!DI480</f>
        <v/>
      </c>
      <c r="H549" s="80"/>
      <c r="I549" s="81"/>
      <c r="J549" s="81"/>
      <c r="K549" s="80"/>
      <c r="L549" s="82">
        <f>Source!U480</f>
        <v>4.3723999999999999E-2</v>
      </c>
    </row>
    <row r="550" spans="1:28" ht="15" x14ac:dyDescent="0.2">
      <c r="G550" s="83">
        <f>ROUND(Source!AC480*Source!I480, 2)+ROUND(Source!AF480*Source!I480, 2)+ROUND((((Source!ET480)-(Source!EU480))+Source!AE480)*Source!I480, 2)+SUM(H547:H548)</f>
        <v>18.399999999999999</v>
      </c>
      <c r="H550" s="83"/>
      <c r="J550" s="83">
        <f>Source!O480+SUM(K547:K548)</f>
        <v>406.37</v>
      </c>
      <c r="K550" s="83"/>
      <c r="L550" s="84">
        <f>Source!U480</f>
        <v>4.3723999999999999E-2</v>
      </c>
      <c r="O550" s="85">
        <f>G550</f>
        <v>18.399999999999999</v>
      </c>
      <c r="P550" s="85">
        <f>J550</f>
        <v>406.37</v>
      </c>
      <c r="Q550" s="85">
        <f>L550</f>
        <v>4.3723999999999999E-2</v>
      </c>
      <c r="W550" s="52">
        <f>IF(Source!BI480&lt;=1,G550, 0)</f>
        <v>18.399999999999999</v>
      </c>
      <c r="X550" s="52">
        <f>IF(Source!BI480=2,G550, 0)</f>
        <v>0</v>
      </c>
      <c r="Y550" s="52">
        <f>IF(Source!BI480=3,G550, 0)</f>
        <v>0</v>
      </c>
      <c r="Z550" s="52">
        <f>IF(Source!BI480=4,G550, 0)</f>
        <v>0</v>
      </c>
    </row>
    <row r="551" spans="1:28" ht="42.75" x14ac:dyDescent="0.2">
      <c r="A551" s="16" t="str">
        <f>Source!E481</f>
        <v>63</v>
      </c>
      <c r="B551" s="17" t="str">
        <f>Source!F481</f>
        <v>23-01-001-1</v>
      </c>
      <c r="C551" s="17" t="str">
        <f>Source!G481</f>
        <v>Устройство основания под трубопроводы песчаного</v>
      </c>
      <c r="D551" s="71" t="str">
        <f>Source!H481</f>
        <v>10 м3 основания</v>
      </c>
      <c r="E551" s="72">
        <f>Source!I481</f>
        <v>3.4000000000000002E-2</v>
      </c>
      <c r="F551" s="73">
        <f>IF(Source!AK481&lt;&gt; 0, Source!AK481,Source!AL481 + Source!AM481 + Source!AO481)</f>
        <v>823.36</v>
      </c>
      <c r="G551" s="74"/>
      <c r="H551" s="73"/>
      <c r="I551" s="74" t="str">
        <f>Source!BO481</f>
        <v>23-01-001-1</v>
      </c>
      <c r="J551" s="74"/>
      <c r="K551" s="73"/>
      <c r="L551" s="75"/>
      <c r="S551" s="52">
        <f>ROUND((Source!FX481/100)*((ROUND(Source!AF481*Source!I481, 2)+ROUND(Source!AE481*Source!I481, 2))), 2)</f>
        <v>3.23</v>
      </c>
      <c r="T551" s="52">
        <f>Source!X481</f>
        <v>113.62</v>
      </c>
      <c r="U551" s="52">
        <f>ROUND((Source!FY481/100)*((ROUND(Source!AF481*Source!I481, 2)+ROUND(Source!AE481*Source!I481, 2))), 2)</f>
        <v>2.04</v>
      </c>
      <c r="V551" s="52">
        <f>Source!Y481</f>
        <v>71.86</v>
      </c>
    </row>
    <row r="552" spans="1:28" x14ac:dyDescent="0.2">
      <c r="C552" s="18" t="str">
        <f>"Объем: "&amp;Source!I481&amp;"=0,34/"&amp;"10"</f>
        <v>Объем: 0,034=0,34/10</v>
      </c>
    </row>
    <row r="553" spans="1:28" ht="14.25" x14ac:dyDescent="0.2">
      <c r="A553" s="16"/>
      <c r="B553" s="17"/>
      <c r="C553" s="17" t="s">
        <v>1206</v>
      </c>
      <c r="D553" s="71"/>
      <c r="E553" s="72"/>
      <c r="F553" s="73">
        <f>Source!AO481</f>
        <v>77.83</v>
      </c>
      <c r="G553" s="74" t="str">
        <f>Source!DG481</f>
        <v/>
      </c>
      <c r="H553" s="73">
        <f>ROUND(Source!AF481*Source!I481, 2)</f>
        <v>2.65</v>
      </c>
      <c r="I553" s="74"/>
      <c r="J553" s="74">
        <f>IF(Source!BA481&lt;&gt; 0, Source!BA481, 1)</f>
        <v>35.270000000000003</v>
      </c>
      <c r="K553" s="73">
        <f>Source!S481</f>
        <v>93.33</v>
      </c>
      <c r="L553" s="75"/>
      <c r="R553" s="52">
        <f>H553</f>
        <v>2.65</v>
      </c>
    </row>
    <row r="554" spans="1:28" ht="14.25" x14ac:dyDescent="0.2">
      <c r="A554" s="16"/>
      <c r="B554" s="17"/>
      <c r="C554" s="17" t="s">
        <v>103</v>
      </c>
      <c r="D554" s="71"/>
      <c r="E554" s="72"/>
      <c r="F554" s="73">
        <f>Source!AM481</f>
        <v>30.53</v>
      </c>
      <c r="G554" s="74" t="str">
        <f>Source!DE481</f>
        <v/>
      </c>
      <c r="H554" s="73">
        <f>ROUND((((Source!ET481)-(Source!EU481))+Source!AE481)*Source!I481, 2)</f>
        <v>1.04</v>
      </c>
      <c r="I554" s="74"/>
      <c r="J554" s="74">
        <f>IF(Source!BB481&lt;&gt; 0, Source!BB481, 1)</f>
        <v>25.57</v>
      </c>
      <c r="K554" s="73">
        <f>Source!Q481</f>
        <v>26.54</v>
      </c>
      <c r="L554" s="75"/>
    </row>
    <row r="555" spans="1:28" ht="14.25" x14ac:dyDescent="0.2">
      <c r="A555" s="16"/>
      <c r="B555" s="17"/>
      <c r="C555" s="17" t="s">
        <v>1212</v>
      </c>
      <c r="D555" s="71"/>
      <c r="E555" s="72"/>
      <c r="F555" s="73">
        <f>Source!AN481</f>
        <v>3.15</v>
      </c>
      <c r="G555" s="74" t="str">
        <f>Source!DF481</f>
        <v/>
      </c>
      <c r="H555" s="73">
        <f>ROUND(Source!AE481*Source!I481, 2)</f>
        <v>0.11</v>
      </c>
      <c r="I555" s="74"/>
      <c r="J555" s="74">
        <f>IF(Source!BS481&lt;&gt; 0, Source!BS481, 1)</f>
        <v>35.270000000000003</v>
      </c>
      <c r="K555" s="73">
        <f>Source!R481</f>
        <v>3.78</v>
      </c>
      <c r="L555" s="75"/>
      <c r="R555" s="52">
        <f>H555</f>
        <v>0.11</v>
      </c>
    </row>
    <row r="556" spans="1:28" ht="14.25" x14ac:dyDescent="0.2">
      <c r="A556" s="16"/>
      <c r="B556" s="17"/>
      <c r="C556" s="17" t="s">
        <v>1213</v>
      </c>
      <c r="D556" s="71"/>
      <c r="E556" s="72"/>
      <c r="F556" s="73">
        <f>Source!AL481</f>
        <v>715</v>
      </c>
      <c r="G556" s="74" t="str">
        <f>Source!DD481</f>
        <v/>
      </c>
      <c r="H556" s="73">
        <f>ROUND(Source!AC481*Source!I481, 2)</f>
        <v>24.31</v>
      </c>
      <c r="I556" s="74"/>
      <c r="J556" s="74">
        <f>IF(Source!BC481&lt;&gt; 0, Source!BC481, 1)</f>
        <v>15</v>
      </c>
      <c r="K556" s="73">
        <f>Source!P481</f>
        <v>364.65</v>
      </c>
      <c r="L556" s="75"/>
    </row>
    <row r="557" spans="1:28" ht="14.25" x14ac:dyDescent="0.2">
      <c r="A557" s="16"/>
      <c r="B557" s="17"/>
      <c r="C557" s="17" t="s">
        <v>1207</v>
      </c>
      <c r="D557" s="71" t="s">
        <v>1208</v>
      </c>
      <c r="E557" s="72">
        <f>Source!BZ481</f>
        <v>117</v>
      </c>
      <c r="F557" s="76"/>
      <c r="G557" s="74"/>
      <c r="H557" s="73">
        <f>SUM(S551:S560)</f>
        <v>3.23</v>
      </c>
      <c r="I557" s="77"/>
      <c r="J557" s="17">
        <f>Source!AT481</f>
        <v>117</v>
      </c>
      <c r="K557" s="73">
        <f>SUM(T551:T560)</f>
        <v>113.62</v>
      </c>
      <c r="L557" s="75"/>
    </row>
    <row r="558" spans="1:28" ht="14.25" x14ac:dyDescent="0.2">
      <c r="A558" s="16"/>
      <c r="B558" s="17"/>
      <c r="C558" s="17" t="s">
        <v>1209</v>
      </c>
      <c r="D558" s="71" t="s">
        <v>1208</v>
      </c>
      <c r="E558" s="72">
        <f>Source!CA481</f>
        <v>74</v>
      </c>
      <c r="F558" s="76"/>
      <c r="G558" s="74"/>
      <c r="H558" s="73">
        <f>SUM(U551:U560)</f>
        <v>2.04</v>
      </c>
      <c r="I558" s="77"/>
      <c r="J558" s="17">
        <f>Source!AU481</f>
        <v>74</v>
      </c>
      <c r="K558" s="73">
        <f>SUM(V551:V560)</f>
        <v>71.86</v>
      </c>
      <c r="L558" s="75"/>
    </row>
    <row r="559" spans="1:28" ht="14.25" x14ac:dyDescent="0.2">
      <c r="A559" s="16"/>
      <c r="B559" s="17"/>
      <c r="C559" s="17" t="s">
        <v>1210</v>
      </c>
      <c r="D559" s="71" t="s">
        <v>1211</v>
      </c>
      <c r="E559" s="72">
        <f>Source!AQ481</f>
        <v>10.199999999999999</v>
      </c>
      <c r="F559" s="73"/>
      <c r="G559" s="74" t="str">
        <f>Source!DI481</f>
        <v/>
      </c>
      <c r="H559" s="73"/>
      <c r="I559" s="74"/>
      <c r="J559" s="74"/>
      <c r="K559" s="73"/>
      <c r="L559" s="89">
        <f>Source!U481</f>
        <v>0.3468</v>
      </c>
    </row>
    <row r="560" spans="1:28" ht="28.5" x14ac:dyDescent="0.2">
      <c r="A560" s="90" t="str">
        <f>Source!E482</f>
        <v>63,1</v>
      </c>
      <c r="B560" s="90" t="str">
        <f>Source!F482</f>
        <v>408-0122</v>
      </c>
      <c r="C560" s="90" t="str">
        <f>Source!G482</f>
        <v>Песок природный для строительных работ средний</v>
      </c>
      <c r="D560" s="91" t="str">
        <f>Source!H482</f>
        <v>м3</v>
      </c>
      <c r="E560" s="92">
        <f>Source!I482</f>
        <v>-0.374</v>
      </c>
      <c r="F560" s="93">
        <f>Source!AK482</f>
        <v>65</v>
      </c>
      <c r="G560" s="94" t="s">
        <v>3</v>
      </c>
      <c r="H560" s="93">
        <f>ROUND(Source!AC482*Source!I482, 2)+ROUND((((Source!ET482)-(Source!EU482))+Source!AE482)*Source!I482, 2)+ROUND(Source!AF482*Source!I482, 2)</f>
        <v>-24.31</v>
      </c>
      <c r="I560" s="91"/>
      <c r="J560" s="91">
        <f>IF(Source!BC482&lt;&gt; 0, Source!BC482, 1)</f>
        <v>15</v>
      </c>
      <c r="K560" s="93">
        <f>Source!O482</f>
        <v>-364.65</v>
      </c>
      <c r="L560" s="93"/>
      <c r="S560" s="52">
        <f>ROUND((Source!FX482/100)*((ROUND(Source!AF482*Source!I482, 2)+ROUND(Source!AE482*Source!I482, 2))), 2)</f>
        <v>0</v>
      </c>
      <c r="T560" s="52">
        <f>Source!X482</f>
        <v>0</v>
      </c>
      <c r="U560" s="52">
        <f>ROUND((Source!FY482/100)*((ROUND(Source!AF482*Source!I482, 2)+ROUND(Source!AE482*Source!I482, 2))), 2)</f>
        <v>0</v>
      </c>
      <c r="V560" s="52">
        <f>Source!Y482</f>
        <v>0</v>
      </c>
      <c r="Y560" s="52">
        <f>IF(Source!BI482=3,H560, 0)</f>
        <v>0</v>
      </c>
      <c r="AA560" s="52">
        <f>ROUND(Source!AC482*Source!I482, 2)+ROUND((((Source!ET482)-(Source!EU482))+Source!AE482)*Source!I482, 2)+ROUND(Source!AF482*Source!I482, 2)</f>
        <v>-24.31</v>
      </c>
      <c r="AB560" s="52">
        <f>Source!O482</f>
        <v>-364.65</v>
      </c>
    </row>
    <row r="561" spans="1:26" ht="15" x14ac:dyDescent="0.2">
      <c r="G561" s="83">
        <f>ROUND(Source!AC481*Source!I481, 2)+ROUND(Source!AF481*Source!I481, 2)+ROUND((((Source!ET481)-(Source!EU481))+Source!AE481)*Source!I481, 2)+SUM(H557:H558)+SUM(AA560:AA560)</f>
        <v>8.9599999999999973</v>
      </c>
      <c r="H561" s="83"/>
      <c r="J561" s="83">
        <f>Source!O481+SUM(K557:K558)+SUM(AB560:AB560)</f>
        <v>305.35000000000002</v>
      </c>
      <c r="K561" s="83"/>
      <c r="L561" s="84">
        <f>Source!U481</f>
        <v>0.3468</v>
      </c>
      <c r="O561" s="85">
        <f>G561</f>
        <v>8.9599999999999973</v>
      </c>
      <c r="P561" s="85">
        <f>J561</f>
        <v>305.35000000000002</v>
      </c>
      <c r="Q561" s="85">
        <f>L561</f>
        <v>0.3468</v>
      </c>
      <c r="W561" s="52">
        <f>IF(Source!BI481&lt;=1,G561, 0)</f>
        <v>8.9599999999999973</v>
      </c>
      <c r="X561" s="52">
        <f>IF(Source!BI481=2,G561, 0)</f>
        <v>0</v>
      </c>
      <c r="Y561" s="52">
        <f>IF(Source!BI481=3,G561, 0)</f>
        <v>0</v>
      </c>
      <c r="Z561" s="52">
        <f>IF(Source!BI481=4,G561, 0)</f>
        <v>0</v>
      </c>
    </row>
    <row r="562" spans="1:26" ht="28.5" x14ac:dyDescent="0.2">
      <c r="A562" s="16" t="str">
        <f>Source!E483</f>
        <v>64</v>
      </c>
      <c r="B562" s="17" t="str">
        <f>Source!F483</f>
        <v>408-0124</v>
      </c>
      <c r="C562" s="17" t="str">
        <f>Source!G483</f>
        <v>Песок природный для строительных работ мелкий</v>
      </c>
      <c r="D562" s="71" t="str">
        <f>Source!H483</f>
        <v>м3</v>
      </c>
      <c r="E562" s="72">
        <f>Source!I483</f>
        <v>0.374</v>
      </c>
      <c r="F562" s="73">
        <f>IF(Source!AK483&lt;&gt; 0, Source!AK483,Source!AL483 + Source!AM483 + Source!AO483)</f>
        <v>54</v>
      </c>
      <c r="G562" s="74"/>
      <c r="H562" s="73"/>
      <c r="I562" s="74" t="str">
        <f>Source!BO483</f>
        <v>408-0124</v>
      </c>
      <c r="J562" s="74"/>
      <c r="K562" s="73"/>
      <c r="L562" s="75"/>
      <c r="S562" s="52">
        <f>ROUND((Source!FX483/100)*((ROUND(Source!AF483*Source!I483, 2)+ROUND(Source!AE483*Source!I483, 2))), 2)</f>
        <v>0</v>
      </c>
      <c r="T562" s="52">
        <f>Source!X483</f>
        <v>0</v>
      </c>
      <c r="U562" s="52">
        <f>ROUND((Source!FY483/100)*((ROUND(Source!AF483*Source!I483, 2)+ROUND(Source!AE483*Source!I483, 2))), 2)</f>
        <v>0</v>
      </c>
      <c r="V562" s="52">
        <f>Source!Y483</f>
        <v>0</v>
      </c>
    </row>
    <row r="563" spans="1:26" ht="14.25" x14ac:dyDescent="0.2">
      <c r="A563" s="20"/>
      <c r="B563" s="21"/>
      <c r="C563" s="21" t="s">
        <v>1213</v>
      </c>
      <c r="D563" s="78"/>
      <c r="E563" s="79"/>
      <c r="F563" s="80">
        <f>Source!AL483</f>
        <v>54</v>
      </c>
      <c r="G563" s="81" t="str">
        <f>Source!DD483</f>
        <v/>
      </c>
      <c r="H563" s="80">
        <f>ROUND(Source!AC483*Source!I483, 2)</f>
        <v>20.2</v>
      </c>
      <c r="I563" s="81"/>
      <c r="J563" s="81">
        <f>IF(Source!BC483&lt;&gt; 0, Source!BC483, 1)</f>
        <v>16.04</v>
      </c>
      <c r="K563" s="80">
        <f>Source!P483</f>
        <v>323.94</v>
      </c>
      <c r="L563" s="100"/>
    </row>
    <row r="564" spans="1:26" ht="15" x14ac:dyDescent="0.2">
      <c r="G564" s="83">
        <f>ROUND(Source!AC483*Source!I483, 2)+ROUND(Source!AF483*Source!I483, 2)+ROUND((((Source!ET483)-(Source!EU483))+Source!AE483)*Source!I483, 2)</f>
        <v>20.2</v>
      </c>
      <c r="H564" s="83"/>
      <c r="J564" s="83">
        <f>Source!O483</f>
        <v>323.94</v>
      </c>
      <c r="K564" s="83"/>
      <c r="L564" s="84">
        <f>Source!U483</f>
        <v>0</v>
      </c>
      <c r="O564" s="85">
        <f>G564</f>
        <v>20.2</v>
      </c>
      <c r="P564" s="85">
        <f>J564</f>
        <v>323.94</v>
      </c>
      <c r="Q564" s="85">
        <f>L564</f>
        <v>0</v>
      </c>
      <c r="W564" s="52">
        <f>IF(Source!BI483&lt;=1,G564, 0)</f>
        <v>20.2</v>
      </c>
      <c r="X564" s="52">
        <f>IF(Source!BI483=2,G564, 0)</f>
        <v>0</v>
      </c>
      <c r="Y564" s="52">
        <f>IF(Source!BI483=3,G564, 0)</f>
        <v>0</v>
      </c>
      <c r="Z564" s="52">
        <f>IF(Source!BI483=4,G564, 0)</f>
        <v>0</v>
      </c>
    </row>
    <row r="565" spans="1:26" ht="128.25" x14ac:dyDescent="0.2">
      <c r="A565" s="16" t="str">
        <f>Source!E484</f>
        <v>65</v>
      </c>
      <c r="B565" s="17" t="str">
        <f>Source!F484</f>
        <v>23-03-001-5</v>
      </c>
      <c r="C565" s="17" t="str">
        <f>Source!G484</f>
        <v>Устройство круглых сборных железобетонных канализационных колодцев диаметром 1,5 м в сухих грунтах</v>
      </c>
      <c r="D565" s="71" t="str">
        <f>Source!H484</f>
        <v>10 м3 железобетонных и бетонных конструкций колодца</v>
      </c>
      <c r="E565" s="72">
        <f>Source!I484</f>
        <v>4.2000000000000003E-2</v>
      </c>
      <c r="F565" s="73">
        <f>IF(Source!AK484&lt;&gt; 0, Source!AK484,Source!AL484 + Source!AM484 + Source!AO484)</f>
        <v>15365.4</v>
      </c>
      <c r="G565" s="74"/>
      <c r="H565" s="73"/>
      <c r="I565" s="74" t="str">
        <f>Source!BO484</f>
        <v>23-03-001-5</v>
      </c>
      <c r="J565" s="74"/>
      <c r="K565" s="73"/>
      <c r="L565" s="75"/>
      <c r="S565" s="52">
        <f>ROUND((Source!FX484/100)*((ROUND(Source!AF484*Source!I484, 2)+ROUND(Source!AE484*Source!I484, 2))), 2)</f>
        <v>46.72</v>
      </c>
      <c r="T565" s="52">
        <f>Source!X484</f>
        <v>1647.73</v>
      </c>
      <c r="U565" s="52">
        <f>ROUND((Source!FY484/100)*((ROUND(Source!AF484*Source!I484, 2)+ROUND(Source!AE484*Source!I484, 2))), 2)</f>
        <v>29.55</v>
      </c>
      <c r="V565" s="52">
        <f>Source!Y484</f>
        <v>1042.1600000000001</v>
      </c>
    </row>
    <row r="566" spans="1:26" x14ac:dyDescent="0.2">
      <c r="C566" s="18" t="str">
        <f>"Объем: "&amp;Source!I484&amp;"=0,42/"&amp;"10"</f>
        <v>Объем: 0,042=0,42/10</v>
      </c>
    </row>
    <row r="567" spans="1:26" ht="14.25" x14ac:dyDescent="0.2">
      <c r="A567" s="16"/>
      <c r="B567" s="17"/>
      <c r="C567" s="17" t="s">
        <v>1206</v>
      </c>
      <c r="D567" s="71"/>
      <c r="E567" s="72"/>
      <c r="F567" s="73">
        <f>Source!AO484</f>
        <v>818.74</v>
      </c>
      <c r="G567" s="74" t="str">
        <f>Source!DG484</f>
        <v/>
      </c>
      <c r="H567" s="73">
        <f>ROUND(Source!AF484*Source!I484, 2)</f>
        <v>34.39</v>
      </c>
      <c r="I567" s="74"/>
      <c r="J567" s="74">
        <f>IF(Source!BA484&lt;&gt; 0, Source!BA484, 1)</f>
        <v>35.270000000000003</v>
      </c>
      <c r="K567" s="73">
        <f>Source!S484</f>
        <v>1212.83</v>
      </c>
      <c r="L567" s="75"/>
      <c r="R567" s="52">
        <f>H567</f>
        <v>34.39</v>
      </c>
    </row>
    <row r="568" spans="1:26" ht="14.25" x14ac:dyDescent="0.2">
      <c r="A568" s="16"/>
      <c r="B568" s="17"/>
      <c r="C568" s="17" t="s">
        <v>103</v>
      </c>
      <c r="D568" s="71"/>
      <c r="E568" s="72"/>
      <c r="F568" s="73">
        <f>Source!AM484</f>
        <v>1926.35</v>
      </c>
      <c r="G568" s="74" t="str">
        <f>Source!DE484</f>
        <v/>
      </c>
      <c r="H568" s="73">
        <f>ROUND((((Source!ET484)-(Source!EU484))+Source!AE484)*Source!I484, 2)</f>
        <v>80.91</v>
      </c>
      <c r="I568" s="74"/>
      <c r="J568" s="74">
        <f>IF(Source!BB484&lt;&gt; 0, Source!BB484, 1)</f>
        <v>12.58</v>
      </c>
      <c r="K568" s="73">
        <f>Source!Q484</f>
        <v>1017.81</v>
      </c>
      <c r="L568" s="75"/>
    </row>
    <row r="569" spans="1:26" ht="14.25" x14ac:dyDescent="0.2">
      <c r="A569" s="16"/>
      <c r="B569" s="17"/>
      <c r="C569" s="17" t="s">
        <v>1212</v>
      </c>
      <c r="D569" s="71"/>
      <c r="E569" s="72"/>
      <c r="F569" s="73">
        <f>Source!AN484</f>
        <v>131.97</v>
      </c>
      <c r="G569" s="74" t="str">
        <f>Source!DF484</f>
        <v/>
      </c>
      <c r="H569" s="73">
        <f>ROUND(Source!AE484*Source!I484, 2)</f>
        <v>5.54</v>
      </c>
      <c r="I569" s="74"/>
      <c r="J569" s="74">
        <f>IF(Source!BS484&lt;&gt; 0, Source!BS484, 1)</f>
        <v>35.270000000000003</v>
      </c>
      <c r="K569" s="73">
        <f>Source!R484</f>
        <v>195.49</v>
      </c>
      <c r="L569" s="75"/>
      <c r="R569" s="52">
        <f>H569</f>
        <v>5.54</v>
      </c>
    </row>
    <row r="570" spans="1:26" ht="14.25" x14ac:dyDescent="0.2">
      <c r="A570" s="16"/>
      <c r="B570" s="17"/>
      <c r="C570" s="17" t="s">
        <v>1213</v>
      </c>
      <c r="D570" s="71"/>
      <c r="E570" s="72"/>
      <c r="F570" s="73">
        <f>Source!AL484</f>
        <v>12620.31</v>
      </c>
      <c r="G570" s="74" t="str">
        <f>Source!DD484</f>
        <v/>
      </c>
      <c r="H570" s="73">
        <f>ROUND(Source!AC484*Source!I484, 2)</f>
        <v>530.04999999999995</v>
      </c>
      <c r="I570" s="74"/>
      <c r="J570" s="74">
        <f>IF(Source!BC484&lt;&gt; 0, Source!BC484, 1)</f>
        <v>11.08</v>
      </c>
      <c r="K570" s="73">
        <f>Source!P484</f>
        <v>5872.99</v>
      </c>
      <c r="L570" s="75"/>
    </row>
    <row r="571" spans="1:26" ht="14.25" x14ac:dyDescent="0.2">
      <c r="A571" s="16"/>
      <c r="B571" s="17"/>
      <c r="C571" s="17" t="s">
        <v>1207</v>
      </c>
      <c r="D571" s="71" t="s">
        <v>1208</v>
      </c>
      <c r="E571" s="72">
        <f>Source!BZ484</f>
        <v>117</v>
      </c>
      <c r="F571" s="76"/>
      <c r="G571" s="74"/>
      <c r="H571" s="73">
        <f>SUM(S565:S573)</f>
        <v>46.72</v>
      </c>
      <c r="I571" s="77"/>
      <c r="J571" s="17">
        <f>Source!AT484</f>
        <v>117</v>
      </c>
      <c r="K571" s="73">
        <f>SUM(T565:T573)</f>
        <v>1647.73</v>
      </c>
      <c r="L571" s="75"/>
    </row>
    <row r="572" spans="1:26" ht="14.25" x14ac:dyDescent="0.2">
      <c r="A572" s="16"/>
      <c r="B572" s="17"/>
      <c r="C572" s="17" t="s">
        <v>1209</v>
      </c>
      <c r="D572" s="71" t="s">
        <v>1208</v>
      </c>
      <c r="E572" s="72">
        <f>Source!CA484</f>
        <v>74</v>
      </c>
      <c r="F572" s="76"/>
      <c r="G572" s="74"/>
      <c r="H572" s="73">
        <f>SUM(U565:U573)</f>
        <v>29.55</v>
      </c>
      <c r="I572" s="77"/>
      <c r="J572" s="17">
        <f>Source!AU484</f>
        <v>74</v>
      </c>
      <c r="K572" s="73">
        <f>SUM(V565:V573)</f>
        <v>1042.1600000000001</v>
      </c>
      <c r="L572" s="75"/>
    </row>
    <row r="573" spans="1:26" ht="14.25" x14ac:dyDescent="0.2">
      <c r="A573" s="20"/>
      <c r="B573" s="21"/>
      <c r="C573" s="21" t="s">
        <v>1210</v>
      </c>
      <c r="D573" s="78" t="s">
        <v>1211</v>
      </c>
      <c r="E573" s="79">
        <f>Source!AQ484</f>
        <v>96.55</v>
      </c>
      <c r="F573" s="80"/>
      <c r="G573" s="81" t="str">
        <f>Source!DI484</f>
        <v/>
      </c>
      <c r="H573" s="80"/>
      <c r="I573" s="81"/>
      <c r="J573" s="81"/>
      <c r="K573" s="80"/>
      <c r="L573" s="82">
        <f>Source!U484</f>
        <v>4.0551000000000004</v>
      </c>
    </row>
    <row r="574" spans="1:26" ht="15" x14ac:dyDescent="0.2">
      <c r="G574" s="83">
        <f>ROUND(Source!AC484*Source!I484, 2)+ROUND(Source!AF484*Source!I484, 2)+ROUND((((Source!ET484)-(Source!EU484))+Source!AE484)*Source!I484, 2)+SUM(H571:H572)</f>
        <v>721.61999999999989</v>
      </c>
      <c r="H574" s="83"/>
      <c r="J574" s="83">
        <f>Source!O484+SUM(K571:K572)</f>
        <v>10793.52</v>
      </c>
      <c r="K574" s="83"/>
      <c r="L574" s="84">
        <f>Source!U484</f>
        <v>4.0551000000000004</v>
      </c>
      <c r="O574" s="85">
        <f>G574</f>
        <v>721.61999999999989</v>
      </c>
      <c r="P574" s="85">
        <f>J574</f>
        <v>10793.52</v>
      </c>
      <c r="Q574" s="85">
        <f>L574</f>
        <v>4.0551000000000004</v>
      </c>
      <c r="W574" s="52">
        <f>IF(Source!BI484&lt;=1,G574, 0)</f>
        <v>721.61999999999989</v>
      </c>
      <c r="X574" s="52">
        <f>IF(Source!BI484=2,G574, 0)</f>
        <v>0</v>
      </c>
      <c r="Y574" s="52">
        <f>IF(Source!BI484=3,G574, 0)</f>
        <v>0</v>
      </c>
      <c r="Z574" s="52">
        <f>IF(Source!BI484=4,G574, 0)</f>
        <v>0</v>
      </c>
    </row>
    <row r="575" spans="1:26" ht="57" x14ac:dyDescent="0.2">
      <c r="A575" s="16" t="str">
        <f>Source!E487</f>
        <v>66</v>
      </c>
      <c r="B575" s="17" t="str">
        <f>Source!F487</f>
        <v>403-8272</v>
      </c>
      <c r="C575" s="17" t="str">
        <f>Source!G487</f>
        <v>Кольцо стеновое смотровых колодцев КС10.9 /бетон В15 (М200), объем 0,24 м3, расход арматуры 5,66 кг/ (серия 3.900.1-14)</v>
      </c>
      <c r="D575" s="71" t="str">
        <f>Source!H487</f>
        <v>шт.</v>
      </c>
      <c r="E575" s="72">
        <f>Source!I487</f>
        <v>1</v>
      </c>
      <c r="F575" s="73">
        <f>IF(Source!AK487&lt;&gt; 0, Source!AK487,Source!AL487 + Source!AM487 + Source!AO487)</f>
        <v>325</v>
      </c>
      <c r="G575" s="74"/>
      <c r="H575" s="73"/>
      <c r="I575" s="74" t="str">
        <f>Source!BO487</f>
        <v>403-8272</v>
      </c>
      <c r="J575" s="74"/>
      <c r="K575" s="73"/>
      <c r="L575" s="75"/>
      <c r="S575" s="52">
        <f>ROUND((Source!FX487/100)*((ROUND(Source!AF487*Source!I487, 2)+ROUND(Source!AE487*Source!I487, 2))), 2)</f>
        <v>0</v>
      </c>
      <c r="T575" s="52">
        <f>Source!X487</f>
        <v>0</v>
      </c>
      <c r="U575" s="52">
        <f>ROUND((Source!FY487/100)*((ROUND(Source!AF487*Source!I487, 2)+ROUND(Source!AE487*Source!I487, 2))), 2)</f>
        <v>0</v>
      </c>
      <c r="V575" s="52">
        <f>Source!Y487</f>
        <v>0</v>
      </c>
    </row>
    <row r="576" spans="1:26" ht="14.25" x14ac:dyDescent="0.2">
      <c r="A576" s="20"/>
      <c r="B576" s="21"/>
      <c r="C576" s="21" t="s">
        <v>1213</v>
      </c>
      <c r="D576" s="78"/>
      <c r="E576" s="79"/>
      <c r="F576" s="80">
        <f>Source!AL487</f>
        <v>325</v>
      </c>
      <c r="G576" s="81" t="str">
        <f>Source!DD487</f>
        <v/>
      </c>
      <c r="H576" s="80">
        <f>ROUND(Source!AC487*Source!I487, 2)</f>
        <v>325</v>
      </c>
      <c r="I576" s="81"/>
      <c r="J576" s="81">
        <f>IF(Source!BC487&lt;&gt; 0, Source!BC487, 1)</f>
        <v>14.37</v>
      </c>
      <c r="K576" s="80">
        <f>Source!P487</f>
        <v>4670.25</v>
      </c>
      <c r="L576" s="100"/>
    </row>
    <row r="577" spans="1:26" ht="15" x14ac:dyDescent="0.2">
      <c r="G577" s="83">
        <f>ROUND(Source!AC487*Source!I487, 2)+ROUND(Source!AF487*Source!I487, 2)+ROUND((((Source!ET487)-(Source!EU487))+Source!AE487)*Source!I487, 2)</f>
        <v>325</v>
      </c>
      <c r="H577" s="83"/>
      <c r="J577" s="83">
        <f>Source!O487</f>
        <v>4670.25</v>
      </c>
      <c r="K577" s="83"/>
      <c r="L577" s="84">
        <f>Source!U487</f>
        <v>0</v>
      </c>
      <c r="O577" s="85">
        <f>G577</f>
        <v>325</v>
      </c>
      <c r="P577" s="85">
        <f>J577</f>
        <v>4670.25</v>
      </c>
      <c r="Q577" s="85">
        <f>L577</f>
        <v>0</v>
      </c>
      <c r="W577" s="52">
        <f>IF(Source!BI487&lt;=1,G577, 0)</f>
        <v>325</v>
      </c>
      <c r="X577" s="52">
        <f>IF(Source!BI487=2,G577, 0)</f>
        <v>0</v>
      </c>
      <c r="Y577" s="52">
        <f>IF(Source!BI487=3,G577, 0)</f>
        <v>0</v>
      </c>
      <c r="Z577" s="52">
        <f>IF(Source!BI487=4,G577, 0)</f>
        <v>0</v>
      </c>
    </row>
    <row r="578" spans="1:26" ht="42.75" x14ac:dyDescent="0.2">
      <c r="A578" s="16" t="str">
        <f>Source!E488</f>
        <v>67</v>
      </c>
      <c r="B578" s="17" t="str">
        <f>Source!F488</f>
        <v>403-8241</v>
      </c>
      <c r="C578" s="17" t="str">
        <f>Source!G488</f>
        <v>Плита днища ПН10 /бетон В15 (М200), объем 0,18 м3, расход ар-ры 15,14 кг / (серия 3.900.1-14)</v>
      </c>
      <c r="D578" s="71" t="str">
        <f>Source!H488</f>
        <v>шт.</v>
      </c>
      <c r="E578" s="72">
        <f>Source!I488</f>
        <v>1</v>
      </c>
      <c r="F578" s="73">
        <f>IF(Source!AK488&lt;&gt; 0, Source!AK488,Source!AL488 + Source!AM488 + Source!AO488)</f>
        <v>159.36000000000001</v>
      </c>
      <c r="G578" s="74"/>
      <c r="H578" s="73"/>
      <c r="I578" s="74" t="str">
        <f>Source!BO488</f>
        <v>403-8241</v>
      </c>
      <c r="J578" s="74"/>
      <c r="K578" s="73"/>
      <c r="L578" s="75"/>
      <c r="S578" s="52">
        <f>ROUND((Source!FX488/100)*((ROUND(Source!AF488*Source!I488, 2)+ROUND(Source!AE488*Source!I488, 2))), 2)</f>
        <v>0</v>
      </c>
      <c r="T578" s="52">
        <f>Source!X488</f>
        <v>0</v>
      </c>
      <c r="U578" s="52">
        <f>ROUND((Source!FY488/100)*((ROUND(Source!AF488*Source!I488, 2)+ROUND(Source!AE488*Source!I488, 2))), 2)</f>
        <v>0</v>
      </c>
      <c r="V578" s="52">
        <f>Source!Y488</f>
        <v>0</v>
      </c>
    </row>
    <row r="579" spans="1:26" ht="14.25" x14ac:dyDescent="0.2">
      <c r="A579" s="20"/>
      <c r="B579" s="21"/>
      <c r="C579" s="21" t="s">
        <v>1213</v>
      </c>
      <c r="D579" s="78"/>
      <c r="E579" s="79"/>
      <c r="F579" s="80">
        <f>Source!AL488</f>
        <v>159.36000000000001</v>
      </c>
      <c r="G579" s="81" t="str">
        <f>Source!DD488</f>
        <v/>
      </c>
      <c r="H579" s="80">
        <f>ROUND(Source!AC488*Source!I488, 2)</f>
        <v>159.36000000000001</v>
      </c>
      <c r="I579" s="81"/>
      <c r="J579" s="81">
        <f>IF(Source!BC488&lt;&gt; 0, Source!BC488, 1)</f>
        <v>24.9</v>
      </c>
      <c r="K579" s="80">
        <f>Source!P488</f>
        <v>3968.06</v>
      </c>
      <c r="L579" s="100"/>
    </row>
    <row r="580" spans="1:26" ht="15" x14ac:dyDescent="0.2">
      <c r="G580" s="83">
        <f>ROUND(Source!AC488*Source!I488, 2)+ROUND(Source!AF488*Source!I488, 2)+ROUND((((Source!ET488)-(Source!EU488))+Source!AE488)*Source!I488, 2)</f>
        <v>159.36000000000001</v>
      </c>
      <c r="H580" s="83"/>
      <c r="J580" s="83">
        <f>Source!O488</f>
        <v>3968.06</v>
      </c>
      <c r="K580" s="83"/>
      <c r="L580" s="84">
        <f>Source!U488</f>
        <v>0</v>
      </c>
      <c r="O580" s="85">
        <f>G580</f>
        <v>159.36000000000001</v>
      </c>
      <c r="P580" s="85">
        <f>J580</f>
        <v>3968.06</v>
      </c>
      <c r="Q580" s="85">
        <f>L580</f>
        <v>0</v>
      </c>
      <c r="W580" s="52">
        <f>IF(Source!BI488&lt;=1,G580, 0)</f>
        <v>159.36000000000001</v>
      </c>
      <c r="X580" s="52">
        <f>IF(Source!BI488=2,G580, 0)</f>
        <v>0</v>
      </c>
      <c r="Y580" s="52">
        <f>IF(Source!BI488=3,G580, 0)</f>
        <v>0</v>
      </c>
      <c r="Z580" s="52">
        <f>IF(Source!BI488=4,G580, 0)</f>
        <v>0</v>
      </c>
    </row>
    <row r="581" spans="1:26" ht="71.25" x14ac:dyDescent="0.2">
      <c r="A581" s="16" t="str">
        <f>Source!E489</f>
        <v>68</v>
      </c>
      <c r="B581" s="17" t="str">
        <f>Source!F489</f>
        <v>10-01-010-1</v>
      </c>
      <c r="C581" s="17" t="str">
        <f>Source!G489</f>
        <v>Установка элементов каркаса из брусьев</v>
      </c>
      <c r="D581" s="71" t="str">
        <f>Source!H489</f>
        <v>1 м3 древесины в конструкции</v>
      </c>
      <c r="E581" s="72">
        <f>Source!I489</f>
        <v>0.84</v>
      </c>
      <c r="F581" s="73">
        <f>IF(Source!AK489&lt;&gt; 0, Source!AK489,Source!AL489 + Source!AM489 + Source!AO489)</f>
        <v>2076.2800000000002</v>
      </c>
      <c r="G581" s="74"/>
      <c r="H581" s="73"/>
      <c r="I581" s="74" t="str">
        <f>Source!BO489</f>
        <v>10-01-010-1</v>
      </c>
      <c r="J581" s="74"/>
      <c r="K581" s="73"/>
      <c r="L581" s="75"/>
      <c r="S581" s="52">
        <f>ROUND((Source!FX489/100)*((ROUND(Source!AF489*Source!I489, 2)+ROUND(Source!AE489*Source!I489, 2))), 2)</f>
        <v>160.03</v>
      </c>
      <c r="T581" s="52">
        <f>Source!X489</f>
        <v>5644.26</v>
      </c>
      <c r="U581" s="52">
        <f>ROUND((Source!FY489/100)*((ROUND(Source!AF489*Source!I489, 2)+ROUND(Source!AE489*Source!I489, 2))), 2)</f>
        <v>81.5</v>
      </c>
      <c r="V581" s="52">
        <f>Source!Y489</f>
        <v>2874.39</v>
      </c>
    </row>
    <row r="582" spans="1:26" ht="14.25" x14ac:dyDescent="0.2">
      <c r="A582" s="16"/>
      <c r="B582" s="17"/>
      <c r="C582" s="17" t="s">
        <v>1206</v>
      </c>
      <c r="D582" s="71"/>
      <c r="E582" s="72"/>
      <c r="F582" s="73">
        <f>Source!AO489</f>
        <v>176.4</v>
      </c>
      <c r="G582" s="74" t="str">
        <f>Source!DG489</f>
        <v/>
      </c>
      <c r="H582" s="73">
        <f>ROUND(Source!AF489*Source!I489, 2)</f>
        <v>148.18</v>
      </c>
      <c r="I582" s="74"/>
      <c r="J582" s="74">
        <f>IF(Source!BA489&lt;&gt; 0, Source!BA489, 1)</f>
        <v>35.270000000000003</v>
      </c>
      <c r="K582" s="73">
        <f>Source!S489</f>
        <v>5226.17</v>
      </c>
      <c r="L582" s="75"/>
      <c r="R582" s="52">
        <f>H582</f>
        <v>148.18</v>
      </c>
    </row>
    <row r="583" spans="1:26" ht="14.25" x14ac:dyDescent="0.2">
      <c r="A583" s="16"/>
      <c r="B583" s="17"/>
      <c r="C583" s="17" t="s">
        <v>103</v>
      </c>
      <c r="D583" s="71"/>
      <c r="E583" s="72"/>
      <c r="F583" s="73">
        <f>Source!AM489</f>
        <v>35.39</v>
      </c>
      <c r="G583" s="74" t="str">
        <f>Source!DE489</f>
        <v/>
      </c>
      <c r="H583" s="73">
        <f>ROUND((((Source!ET489)-(Source!EU489))+Source!AE489)*Source!I489, 2)</f>
        <v>29.73</v>
      </c>
      <c r="I583" s="74"/>
      <c r="J583" s="74">
        <f>IF(Source!BB489&lt;&gt; 0, Source!BB489, 1)</f>
        <v>13.7</v>
      </c>
      <c r="K583" s="73">
        <f>Source!Q489</f>
        <v>407.27</v>
      </c>
      <c r="L583" s="75"/>
    </row>
    <row r="584" spans="1:26" ht="14.25" x14ac:dyDescent="0.2">
      <c r="A584" s="16"/>
      <c r="B584" s="17"/>
      <c r="C584" s="17" t="s">
        <v>1213</v>
      </c>
      <c r="D584" s="71"/>
      <c r="E584" s="72"/>
      <c r="F584" s="73">
        <f>Source!AL489</f>
        <v>1864.49</v>
      </c>
      <c r="G584" s="74" t="str">
        <f>Source!DD489</f>
        <v/>
      </c>
      <c r="H584" s="73">
        <f>ROUND(Source!AC489*Source!I489, 2)</f>
        <v>1566.17</v>
      </c>
      <c r="I584" s="74"/>
      <c r="J584" s="74">
        <f>IF(Source!BC489&lt;&gt; 0, Source!BC489, 1)</f>
        <v>11.9</v>
      </c>
      <c r="K584" s="73">
        <f>Source!P489</f>
        <v>18637.439999999999</v>
      </c>
      <c r="L584" s="75"/>
    </row>
    <row r="585" spans="1:26" ht="14.25" x14ac:dyDescent="0.2">
      <c r="A585" s="16"/>
      <c r="B585" s="17"/>
      <c r="C585" s="17" t="s">
        <v>1207</v>
      </c>
      <c r="D585" s="71" t="s">
        <v>1208</v>
      </c>
      <c r="E585" s="72">
        <f>Source!BZ489</f>
        <v>108</v>
      </c>
      <c r="F585" s="76"/>
      <c r="G585" s="74"/>
      <c r="H585" s="73">
        <f>SUM(S581:S587)</f>
        <v>160.03</v>
      </c>
      <c r="I585" s="77"/>
      <c r="J585" s="17">
        <f>Source!AT489</f>
        <v>108</v>
      </c>
      <c r="K585" s="73">
        <f>SUM(T581:T587)</f>
        <v>5644.26</v>
      </c>
      <c r="L585" s="75"/>
    </row>
    <row r="586" spans="1:26" ht="14.25" x14ac:dyDescent="0.2">
      <c r="A586" s="16"/>
      <c r="B586" s="17"/>
      <c r="C586" s="17" t="s">
        <v>1209</v>
      </c>
      <c r="D586" s="71" t="s">
        <v>1208</v>
      </c>
      <c r="E586" s="72">
        <f>Source!CA489</f>
        <v>55</v>
      </c>
      <c r="F586" s="76"/>
      <c r="G586" s="74"/>
      <c r="H586" s="73">
        <f>SUM(U581:U587)</f>
        <v>81.5</v>
      </c>
      <c r="I586" s="77"/>
      <c r="J586" s="17">
        <f>Source!AU489</f>
        <v>55</v>
      </c>
      <c r="K586" s="73">
        <f>SUM(V581:V587)</f>
        <v>2874.39</v>
      </c>
      <c r="L586" s="75"/>
    </row>
    <row r="587" spans="1:26" ht="14.25" x14ac:dyDescent="0.2">
      <c r="A587" s="20"/>
      <c r="B587" s="21"/>
      <c r="C587" s="21" t="s">
        <v>1210</v>
      </c>
      <c r="D587" s="78" t="s">
        <v>1211</v>
      </c>
      <c r="E587" s="79">
        <f>Source!AQ489</f>
        <v>22.5</v>
      </c>
      <c r="F587" s="80"/>
      <c r="G587" s="81" t="str">
        <f>Source!DI489</f>
        <v/>
      </c>
      <c r="H587" s="80"/>
      <c r="I587" s="81"/>
      <c r="J587" s="81"/>
      <c r="K587" s="80"/>
      <c r="L587" s="82">
        <f>Source!U489</f>
        <v>18.899999999999999</v>
      </c>
    </row>
    <row r="588" spans="1:26" ht="15" x14ac:dyDescent="0.2">
      <c r="G588" s="83">
        <f>ROUND(Source!AC489*Source!I489, 2)+ROUND(Source!AF489*Source!I489, 2)+ROUND((((Source!ET489)-(Source!EU489))+Source!AE489)*Source!I489, 2)+SUM(H585:H586)</f>
        <v>1985.6100000000001</v>
      </c>
      <c r="H588" s="83"/>
      <c r="J588" s="83">
        <f>Source!O489+SUM(K585:K586)</f>
        <v>32789.53</v>
      </c>
      <c r="K588" s="83"/>
      <c r="L588" s="84">
        <f>Source!U489</f>
        <v>18.899999999999999</v>
      </c>
      <c r="O588" s="85">
        <f>G588</f>
        <v>1985.6100000000001</v>
      </c>
      <c r="P588" s="85">
        <f>J588</f>
        <v>32789.53</v>
      </c>
      <c r="Q588" s="85">
        <f>L588</f>
        <v>18.899999999999999</v>
      </c>
      <c r="W588" s="52">
        <f>IF(Source!BI489&lt;=1,G588, 0)</f>
        <v>1985.6100000000001</v>
      </c>
      <c r="X588" s="52">
        <f>IF(Source!BI489=2,G588, 0)</f>
        <v>0</v>
      </c>
      <c r="Y588" s="52">
        <f>IF(Source!BI489=3,G588, 0)</f>
        <v>0</v>
      </c>
      <c r="Z588" s="52">
        <f>IF(Source!BI489=4,G588, 0)</f>
        <v>0</v>
      </c>
    </row>
    <row r="589" spans="1:26" ht="71.25" x14ac:dyDescent="0.2">
      <c r="A589" s="16" t="str">
        <f>Source!E490</f>
        <v>69</v>
      </c>
      <c r="B589" s="17" t="str">
        <f>Source!F490</f>
        <v>10-01-012-1</v>
      </c>
      <c r="C589" s="17" t="str">
        <f>Source!G490</f>
        <v>Обшивка каркасных стен досками обшивки</v>
      </c>
      <c r="D589" s="71" t="str">
        <f>Source!H490</f>
        <v>100 м2 обшивки стен (за вычетом проемов)</v>
      </c>
      <c r="E589" s="72">
        <f>Source!I490</f>
        <v>0.12</v>
      </c>
      <c r="F589" s="73">
        <f>IF(Source!AK490&lt;&gt; 0, Source!AK490,Source!AL490 + Source!AM490 + Source!AO490)</f>
        <v>3484.67</v>
      </c>
      <c r="G589" s="74"/>
      <c r="H589" s="73"/>
      <c r="I589" s="74" t="str">
        <f>Source!BO490</f>
        <v>10-01-012-1</v>
      </c>
      <c r="J589" s="74"/>
      <c r="K589" s="73"/>
      <c r="L589" s="75"/>
      <c r="S589" s="52">
        <f>ROUND((Source!FX490/100)*((ROUND(Source!AF490*Source!I490, 2)+ROUND(Source!AE490*Source!I490, 2))), 2)</f>
        <v>37.96</v>
      </c>
      <c r="T589" s="52">
        <f>Source!X490</f>
        <v>1339.03</v>
      </c>
      <c r="U589" s="52">
        <f>ROUND((Source!FY490/100)*((ROUND(Source!AF490*Source!I490, 2)+ROUND(Source!AE490*Source!I490, 2))), 2)</f>
        <v>19.329999999999998</v>
      </c>
      <c r="V589" s="52">
        <f>Source!Y490</f>
        <v>681.91</v>
      </c>
    </row>
    <row r="590" spans="1:26" x14ac:dyDescent="0.2">
      <c r="C590" s="18" t="str">
        <f>"Объем: "&amp;Source!I490&amp;"=12/"&amp;"100"</f>
        <v>Объем: 0,12=12/100</v>
      </c>
    </row>
    <row r="591" spans="1:26" ht="14.25" x14ac:dyDescent="0.2">
      <c r="A591" s="16"/>
      <c r="B591" s="17"/>
      <c r="C591" s="17" t="s">
        <v>1206</v>
      </c>
      <c r="D591" s="71"/>
      <c r="E591" s="72"/>
      <c r="F591" s="73">
        <f>Source!AO490</f>
        <v>292.94</v>
      </c>
      <c r="G591" s="74" t="str">
        <f>Source!DG490</f>
        <v/>
      </c>
      <c r="H591" s="73">
        <f>ROUND(Source!AF490*Source!I490, 2)</f>
        <v>35.15</v>
      </c>
      <c r="I591" s="74"/>
      <c r="J591" s="74">
        <f>IF(Source!BA490&lt;&gt; 0, Source!BA490, 1)</f>
        <v>35.270000000000003</v>
      </c>
      <c r="K591" s="73">
        <f>Source!S490</f>
        <v>1239.8399999999999</v>
      </c>
      <c r="L591" s="75"/>
      <c r="R591" s="52">
        <f>H591</f>
        <v>35.15</v>
      </c>
    </row>
    <row r="592" spans="1:26" ht="14.25" x14ac:dyDescent="0.2">
      <c r="A592" s="16"/>
      <c r="B592" s="17"/>
      <c r="C592" s="17" t="s">
        <v>103</v>
      </c>
      <c r="D592" s="71"/>
      <c r="E592" s="72"/>
      <c r="F592" s="73">
        <f>Source!AM490</f>
        <v>51.73</v>
      </c>
      <c r="G592" s="74" t="str">
        <f>Source!DE490</f>
        <v/>
      </c>
      <c r="H592" s="73">
        <f>ROUND((((Source!ET490)-(Source!EU490))+Source!AE490)*Source!I490, 2)</f>
        <v>6.21</v>
      </c>
      <c r="I592" s="74"/>
      <c r="J592" s="74">
        <f>IF(Source!BB490&lt;&gt; 0, Source!BB490, 1)</f>
        <v>14.19</v>
      </c>
      <c r="K592" s="73">
        <f>Source!Q490</f>
        <v>88.09</v>
      </c>
      <c r="L592" s="75"/>
    </row>
    <row r="593" spans="1:26" ht="14.25" x14ac:dyDescent="0.2">
      <c r="A593" s="16"/>
      <c r="B593" s="17"/>
      <c r="C593" s="17" t="s">
        <v>1213</v>
      </c>
      <c r="D593" s="71"/>
      <c r="E593" s="72"/>
      <c r="F593" s="73">
        <f>Source!AL490</f>
        <v>3140</v>
      </c>
      <c r="G593" s="74" t="str">
        <f>Source!DD490</f>
        <v/>
      </c>
      <c r="H593" s="73">
        <f>ROUND(Source!AC490*Source!I490, 2)</f>
        <v>376.8</v>
      </c>
      <c r="I593" s="74"/>
      <c r="J593" s="74">
        <f>IF(Source!BC490&lt;&gt; 0, Source!BC490, 1)</f>
        <v>13.58</v>
      </c>
      <c r="K593" s="73">
        <f>Source!P490</f>
        <v>5116.9399999999996</v>
      </c>
      <c r="L593" s="75"/>
    </row>
    <row r="594" spans="1:26" ht="14.25" x14ac:dyDescent="0.2">
      <c r="A594" s="16"/>
      <c r="B594" s="17"/>
      <c r="C594" s="17" t="s">
        <v>1207</v>
      </c>
      <c r="D594" s="71" t="s">
        <v>1208</v>
      </c>
      <c r="E594" s="72">
        <f>Source!BZ490</f>
        <v>108</v>
      </c>
      <c r="F594" s="76"/>
      <c r="G594" s="74"/>
      <c r="H594" s="73">
        <f>SUM(S589:S596)</f>
        <v>37.96</v>
      </c>
      <c r="I594" s="77"/>
      <c r="J594" s="17">
        <f>Source!AT490</f>
        <v>108</v>
      </c>
      <c r="K594" s="73">
        <f>SUM(T589:T596)</f>
        <v>1339.03</v>
      </c>
      <c r="L594" s="75"/>
    </row>
    <row r="595" spans="1:26" ht="14.25" x14ac:dyDescent="0.2">
      <c r="A595" s="16"/>
      <c r="B595" s="17"/>
      <c r="C595" s="17" t="s">
        <v>1209</v>
      </c>
      <c r="D595" s="71" t="s">
        <v>1208</v>
      </c>
      <c r="E595" s="72">
        <f>Source!CA490</f>
        <v>55</v>
      </c>
      <c r="F595" s="76"/>
      <c r="G595" s="74"/>
      <c r="H595" s="73">
        <f>SUM(U589:U596)</f>
        <v>19.329999999999998</v>
      </c>
      <c r="I595" s="77"/>
      <c r="J595" s="17">
        <f>Source!AU490</f>
        <v>55</v>
      </c>
      <c r="K595" s="73">
        <f>SUM(V589:V596)</f>
        <v>681.91</v>
      </c>
      <c r="L595" s="75"/>
    </row>
    <row r="596" spans="1:26" ht="14.25" x14ac:dyDescent="0.2">
      <c r="A596" s="20"/>
      <c r="B596" s="21"/>
      <c r="C596" s="21" t="s">
        <v>1210</v>
      </c>
      <c r="D596" s="78" t="s">
        <v>1211</v>
      </c>
      <c r="E596" s="79">
        <f>Source!AQ490</f>
        <v>36.299999999999997</v>
      </c>
      <c r="F596" s="80"/>
      <c r="G596" s="81" t="str">
        <f>Source!DI490</f>
        <v/>
      </c>
      <c r="H596" s="80"/>
      <c r="I596" s="81"/>
      <c r="J596" s="81"/>
      <c r="K596" s="80"/>
      <c r="L596" s="82">
        <f>Source!U490</f>
        <v>4.3559999999999999</v>
      </c>
    </row>
    <row r="597" spans="1:26" ht="15" x14ac:dyDescent="0.2">
      <c r="G597" s="83">
        <f>ROUND(Source!AC490*Source!I490, 2)+ROUND(Source!AF490*Source!I490, 2)+ROUND((((Source!ET490)-(Source!EU490))+Source!AE490)*Source!I490, 2)+SUM(H594:H595)</f>
        <v>475.45</v>
      </c>
      <c r="H597" s="83"/>
      <c r="J597" s="83">
        <f>Source!O490+SUM(K594:K595)</f>
        <v>8465.81</v>
      </c>
      <c r="K597" s="83"/>
      <c r="L597" s="84">
        <f>Source!U490</f>
        <v>4.3559999999999999</v>
      </c>
      <c r="O597" s="85">
        <f>G597</f>
        <v>475.45</v>
      </c>
      <c r="P597" s="85">
        <f>J597</f>
        <v>8465.81</v>
      </c>
      <c r="Q597" s="85">
        <f>L597</f>
        <v>4.3559999999999999</v>
      </c>
      <c r="W597" s="52">
        <f>IF(Source!BI490&lt;=1,G597, 0)</f>
        <v>475.45</v>
      </c>
      <c r="X597" s="52">
        <f>IF(Source!BI490=2,G597, 0)</f>
        <v>0</v>
      </c>
      <c r="Y597" s="52">
        <f>IF(Source!BI490=3,G597, 0)</f>
        <v>0</v>
      </c>
      <c r="Z597" s="52">
        <f>IF(Source!BI490=4,G597, 0)</f>
        <v>0</v>
      </c>
    </row>
    <row r="598" spans="1:26" ht="28.5" x14ac:dyDescent="0.2">
      <c r="A598" s="16" t="str">
        <f>Source!E491</f>
        <v>70</v>
      </c>
      <c r="B598" s="17" t="str">
        <f>Source!F491</f>
        <v>12-01-007-8</v>
      </c>
      <c r="C598" s="17" t="str">
        <f>Source!G491</f>
        <v>Устройство кровель из оцинкованной стали без настенных желобов</v>
      </c>
      <c r="D598" s="71" t="str">
        <f>Source!H491</f>
        <v>100 М2 КРОВЛИ</v>
      </c>
      <c r="E598" s="72">
        <f>Source!I491</f>
        <v>2.2499999999999999E-2</v>
      </c>
      <c r="F598" s="73">
        <f>IF(Source!AK491&lt;&gt; 0, Source!AK491,Source!AL491 + Source!AM491 + Source!AO491)</f>
        <v>12943.45</v>
      </c>
      <c r="G598" s="74"/>
      <c r="H598" s="73"/>
      <c r="I598" s="74" t="str">
        <f>Source!BO491</f>
        <v>12-01-007-8</v>
      </c>
      <c r="J598" s="74"/>
      <c r="K598" s="73"/>
      <c r="L598" s="75"/>
      <c r="S598" s="52">
        <f>ROUND((Source!FX491/100)*((ROUND(Source!AF491*Source!I491, 2)+ROUND(Source!AE491*Source!I491, 2))), 2)</f>
        <v>19.04</v>
      </c>
      <c r="T598" s="52">
        <f>Source!X491</f>
        <v>671.64</v>
      </c>
      <c r="U598" s="52">
        <f>ROUND((Source!FY491/100)*((ROUND(Source!AF491*Source!I491, 2)+ROUND(Source!AE491*Source!I491, 2))), 2)</f>
        <v>9.9600000000000009</v>
      </c>
      <c r="V598" s="52">
        <f>Source!Y491</f>
        <v>351.22</v>
      </c>
    </row>
    <row r="599" spans="1:26" x14ac:dyDescent="0.2">
      <c r="C599" s="18" t="str">
        <f>"Объем: "&amp;Source!I491&amp;"=2,25/"&amp;"100"</f>
        <v>Объем: 0,0225=2,25/100</v>
      </c>
    </row>
    <row r="600" spans="1:26" ht="14.25" x14ac:dyDescent="0.2">
      <c r="A600" s="16"/>
      <c r="B600" s="17"/>
      <c r="C600" s="17" t="s">
        <v>1206</v>
      </c>
      <c r="D600" s="71"/>
      <c r="E600" s="72"/>
      <c r="F600" s="73">
        <f>Source!AO491</f>
        <v>770.41</v>
      </c>
      <c r="G600" s="74" t="str">
        <f>Source!DG491</f>
        <v/>
      </c>
      <c r="H600" s="73">
        <f>ROUND(Source!AF491*Source!I491, 2)</f>
        <v>17.329999999999998</v>
      </c>
      <c r="I600" s="74"/>
      <c r="J600" s="74">
        <f>IF(Source!BA491&lt;&gt; 0, Source!BA491, 1)</f>
        <v>35.270000000000003</v>
      </c>
      <c r="K600" s="73">
        <f>Source!S491</f>
        <v>611.38</v>
      </c>
      <c r="L600" s="75"/>
      <c r="R600" s="52">
        <f>H600</f>
        <v>17.329999999999998</v>
      </c>
    </row>
    <row r="601" spans="1:26" ht="14.25" x14ac:dyDescent="0.2">
      <c r="A601" s="16"/>
      <c r="B601" s="17"/>
      <c r="C601" s="17" t="s">
        <v>103</v>
      </c>
      <c r="D601" s="71"/>
      <c r="E601" s="72"/>
      <c r="F601" s="73">
        <f>Source!AM491</f>
        <v>65.33</v>
      </c>
      <c r="G601" s="74" t="str">
        <f>Source!DE491</f>
        <v/>
      </c>
      <c r="H601" s="73">
        <f>ROUND((((Source!ET491)-(Source!EU491))+Source!AE491)*Source!I491, 2)</f>
        <v>1.47</v>
      </c>
      <c r="I601" s="74"/>
      <c r="J601" s="74">
        <f>IF(Source!BB491&lt;&gt; 0, Source!BB491, 1)</f>
        <v>12.4</v>
      </c>
      <c r="K601" s="73">
        <f>Source!Q491</f>
        <v>18.23</v>
      </c>
      <c r="L601" s="75"/>
    </row>
    <row r="602" spans="1:26" ht="14.25" x14ac:dyDescent="0.2">
      <c r="A602" s="16"/>
      <c r="B602" s="17"/>
      <c r="C602" s="17" t="s">
        <v>1212</v>
      </c>
      <c r="D602" s="71"/>
      <c r="E602" s="72"/>
      <c r="F602" s="73">
        <f>Source!AN491</f>
        <v>6.05</v>
      </c>
      <c r="G602" s="74" t="str">
        <f>Source!DF491</f>
        <v/>
      </c>
      <c r="H602" s="73">
        <f>ROUND(Source!AE491*Source!I491, 2)</f>
        <v>0.14000000000000001</v>
      </c>
      <c r="I602" s="74"/>
      <c r="J602" s="74">
        <f>IF(Source!BS491&lt;&gt; 0, Source!BS491, 1)</f>
        <v>35.270000000000003</v>
      </c>
      <c r="K602" s="73">
        <f>Source!R491</f>
        <v>4.8</v>
      </c>
      <c r="L602" s="75"/>
      <c r="R602" s="52">
        <f>H602</f>
        <v>0.14000000000000001</v>
      </c>
    </row>
    <row r="603" spans="1:26" ht="14.25" x14ac:dyDescent="0.2">
      <c r="A603" s="16"/>
      <c r="B603" s="17"/>
      <c r="C603" s="17" t="s">
        <v>1213</v>
      </c>
      <c r="D603" s="71"/>
      <c r="E603" s="72"/>
      <c r="F603" s="73">
        <f>Source!AL491</f>
        <v>12107.71</v>
      </c>
      <c r="G603" s="74" t="str">
        <f>Source!DD491</f>
        <v/>
      </c>
      <c r="H603" s="73">
        <f>ROUND(Source!AC491*Source!I491, 2)</f>
        <v>272.42</v>
      </c>
      <c r="I603" s="74"/>
      <c r="J603" s="74">
        <f>IF(Source!BC491&lt;&gt; 0, Source!BC491, 1)</f>
        <v>10.61</v>
      </c>
      <c r="K603" s="73">
        <f>Source!P491</f>
        <v>2890.41</v>
      </c>
      <c r="L603" s="75"/>
    </row>
    <row r="604" spans="1:26" ht="14.25" x14ac:dyDescent="0.2">
      <c r="A604" s="16"/>
      <c r="B604" s="17"/>
      <c r="C604" s="17" t="s">
        <v>1207</v>
      </c>
      <c r="D604" s="71" t="s">
        <v>1208</v>
      </c>
      <c r="E604" s="72">
        <f>Source!BZ491</f>
        <v>109</v>
      </c>
      <c r="F604" s="76"/>
      <c r="G604" s="74"/>
      <c r="H604" s="73">
        <f>SUM(S598:S606)</f>
        <v>19.04</v>
      </c>
      <c r="I604" s="77"/>
      <c r="J604" s="17">
        <f>Source!AT491</f>
        <v>109</v>
      </c>
      <c r="K604" s="73">
        <f>SUM(T598:T606)</f>
        <v>671.64</v>
      </c>
      <c r="L604" s="75"/>
    </row>
    <row r="605" spans="1:26" ht="14.25" x14ac:dyDescent="0.2">
      <c r="A605" s="16"/>
      <c r="B605" s="17"/>
      <c r="C605" s="17" t="s">
        <v>1209</v>
      </c>
      <c r="D605" s="71" t="s">
        <v>1208</v>
      </c>
      <c r="E605" s="72">
        <f>Source!CA491</f>
        <v>57</v>
      </c>
      <c r="F605" s="76"/>
      <c r="G605" s="74"/>
      <c r="H605" s="73">
        <f>SUM(U598:U606)</f>
        <v>9.9600000000000009</v>
      </c>
      <c r="I605" s="77"/>
      <c r="J605" s="17">
        <f>Source!AU491</f>
        <v>57</v>
      </c>
      <c r="K605" s="73">
        <f>SUM(V598:V606)</f>
        <v>351.22</v>
      </c>
      <c r="L605" s="75"/>
    </row>
    <row r="606" spans="1:26" ht="14.25" x14ac:dyDescent="0.2">
      <c r="A606" s="20"/>
      <c r="B606" s="21"/>
      <c r="C606" s="21" t="s">
        <v>1210</v>
      </c>
      <c r="D606" s="78" t="s">
        <v>1211</v>
      </c>
      <c r="E606" s="79">
        <f>Source!AQ491</f>
        <v>90.85</v>
      </c>
      <c r="F606" s="80"/>
      <c r="G606" s="81" t="str">
        <f>Source!DI491</f>
        <v/>
      </c>
      <c r="H606" s="80"/>
      <c r="I606" s="81"/>
      <c r="J606" s="81"/>
      <c r="K606" s="80"/>
      <c r="L606" s="82">
        <f>Source!U491</f>
        <v>2.0441249999999997</v>
      </c>
    </row>
    <row r="607" spans="1:26" ht="15" x14ac:dyDescent="0.2">
      <c r="G607" s="83">
        <f>ROUND(Source!AC491*Source!I491, 2)+ROUND(Source!AF491*Source!I491, 2)+ROUND((((Source!ET491)-(Source!EU491))+Source!AE491)*Source!I491, 2)+SUM(H604:H605)</f>
        <v>320.22000000000003</v>
      </c>
      <c r="H607" s="83"/>
      <c r="J607" s="83">
        <f>Source!O491+SUM(K604:K605)</f>
        <v>4542.88</v>
      </c>
      <c r="K607" s="83"/>
      <c r="L607" s="84">
        <f>Source!U491</f>
        <v>2.0441249999999997</v>
      </c>
      <c r="O607" s="85">
        <f>G607</f>
        <v>320.22000000000003</v>
      </c>
      <c r="P607" s="85">
        <f>J607</f>
        <v>4542.88</v>
      </c>
      <c r="Q607" s="85">
        <f>L607</f>
        <v>2.0441249999999997</v>
      </c>
      <c r="W607" s="52">
        <f>IF(Source!BI491&lt;=1,G607, 0)</f>
        <v>320.22000000000003</v>
      </c>
      <c r="X607" s="52">
        <f>IF(Source!BI491=2,G607, 0)</f>
        <v>0</v>
      </c>
      <c r="Y607" s="52">
        <f>IF(Source!BI491=3,G607, 0)</f>
        <v>0</v>
      </c>
      <c r="Z607" s="52">
        <f>IF(Source!BI491=4,G607, 0)</f>
        <v>0</v>
      </c>
    </row>
    <row r="608" spans="1:26" ht="28.5" x14ac:dyDescent="0.2">
      <c r="A608" s="16" t="str">
        <f>Source!E492</f>
        <v>71</v>
      </c>
      <c r="B608" s="17" t="str">
        <f>Source!F492</f>
        <v>10-01-029-1</v>
      </c>
      <c r="C608" s="17" t="str">
        <f>Source!G492</f>
        <v>Установка приборов фрамужных</v>
      </c>
      <c r="D608" s="71" t="str">
        <f>Source!H492</f>
        <v>100 компл.</v>
      </c>
      <c r="E608" s="72">
        <f>Source!I492</f>
        <v>0.02</v>
      </c>
      <c r="F608" s="73">
        <f>IF(Source!AK492&lt;&gt; 0, Source!AK492,Source!AL492 + Source!AM492 + Source!AO492)</f>
        <v>3494.2</v>
      </c>
      <c r="G608" s="74"/>
      <c r="H608" s="73"/>
      <c r="I608" s="74" t="str">
        <f>Source!BO492</f>
        <v>10-01-029-1</v>
      </c>
      <c r="J608" s="74"/>
      <c r="K608" s="73"/>
      <c r="L608" s="75"/>
      <c r="S608" s="52">
        <f>ROUND((Source!FX492/100)*((ROUND(Source!AF492*Source!I492, 2)+ROUND(Source!AE492*Source!I492, 2))), 2)</f>
        <v>16.850000000000001</v>
      </c>
      <c r="T608" s="52">
        <f>Source!X492</f>
        <v>594.30999999999995</v>
      </c>
      <c r="U608" s="52">
        <f>ROUND((Source!FY492/100)*((ROUND(Source!AF492*Source!I492, 2)+ROUND(Source!AE492*Source!I492, 2))), 2)</f>
        <v>8.58</v>
      </c>
      <c r="V608" s="52">
        <f>Source!Y492</f>
        <v>302.66000000000003</v>
      </c>
    </row>
    <row r="609" spans="1:33" x14ac:dyDescent="0.2">
      <c r="C609" s="18" t="str">
        <f>"Объем: "&amp;Source!I492&amp;"=2/"&amp;"100"</f>
        <v>Объем: 0,02=2/100</v>
      </c>
    </row>
    <row r="610" spans="1:33" ht="14.25" x14ac:dyDescent="0.2">
      <c r="A610" s="16"/>
      <c r="B610" s="17"/>
      <c r="C610" s="17" t="s">
        <v>1206</v>
      </c>
      <c r="D610" s="71"/>
      <c r="E610" s="72"/>
      <c r="F610" s="73">
        <f>Source!AO492</f>
        <v>780.11</v>
      </c>
      <c r="G610" s="74" t="str">
        <f>Source!DG492</f>
        <v/>
      </c>
      <c r="H610" s="73">
        <f>ROUND(Source!AF492*Source!I492, 2)</f>
        <v>15.6</v>
      </c>
      <c r="I610" s="74"/>
      <c r="J610" s="74">
        <f>IF(Source!BA492&lt;&gt; 0, Source!BA492, 1)</f>
        <v>35.270000000000003</v>
      </c>
      <c r="K610" s="73">
        <f>Source!S492</f>
        <v>550.29</v>
      </c>
      <c r="L610" s="75"/>
      <c r="R610" s="52">
        <f>H610</f>
        <v>15.6</v>
      </c>
    </row>
    <row r="611" spans="1:33" ht="14.25" x14ac:dyDescent="0.2">
      <c r="A611" s="16"/>
      <c r="B611" s="17"/>
      <c r="C611" s="17" t="s">
        <v>103</v>
      </c>
      <c r="D611" s="71"/>
      <c r="E611" s="72"/>
      <c r="F611" s="73">
        <f>Source!AM492</f>
        <v>14.09</v>
      </c>
      <c r="G611" s="74" t="str">
        <f>Source!DE492</f>
        <v/>
      </c>
      <c r="H611" s="73">
        <f>ROUND((((Source!ET492)-(Source!EU492))+Source!AE492)*Source!I492, 2)</f>
        <v>0.28000000000000003</v>
      </c>
      <c r="I611" s="74"/>
      <c r="J611" s="74">
        <f>IF(Source!BB492&lt;&gt; 0, Source!BB492, 1)</f>
        <v>11.94</v>
      </c>
      <c r="K611" s="73">
        <f>Source!Q492</f>
        <v>3.36</v>
      </c>
      <c r="L611" s="75"/>
    </row>
    <row r="612" spans="1:33" ht="14.25" x14ac:dyDescent="0.2">
      <c r="A612" s="16"/>
      <c r="B612" s="17"/>
      <c r="C612" s="17" t="s">
        <v>1213</v>
      </c>
      <c r="D612" s="71"/>
      <c r="E612" s="72"/>
      <c r="F612" s="73">
        <f>Source!AL492</f>
        <v>2700</v>
      </c>
      <c r="G612" s="74" t="str">
        <f>Source!DD492</f>
        <v/>
      </c>
      <c r="H612" s="73">
        <f>ROUND(Source!AC492*Source!I492, 2)</f>
        <v>54</v>
      </c>
      <c r="I612" s="74"/>
      <c r="J612" s="74">
        <f>IF(Source!BC492&lt;&gt; 0, Source!BC492, 1)</f>
        <v>8.8699999999999992</v>
      </c>
      <c r="K612" s="73">
        <f>Source!P492</f>
        <v>478.98</v>
      </c>
      <c r="L612" s="75"/>
    </row>
    <row r="613" spans="1:33" ht="14.25" x14ac:dyDescent="0.2">
      <c r="A613" s="16"/>
      <c r="B613" s="17"/>
      <c r="C613" s="17" t="s">
        <v>1207</v>
      </c>
      <c r="D613" s="71" t="s">
        <v>1208</v>
      </c>
      <c r="E613" s="72">
        <f>Source!BZ492</f>
        <v>108</v>
      </c>
      <c r="F613" s="76"/>
      <c r="G613" s="74"/>
      <c r="H613" s="73">
        <f>SUM(S608:S615)</f>
        <v>16.850000000000001</v>
      </c>
      <c r="I613" s="77"/>
      <c r="J613" s="17">
        <f>Source!AT492</f>
        <v>108</v>
      </c>
      <c r="K613" s="73">
        <f>SUM(T608:T615)</f>
        <v>594.30999999999995</v>
      </c>
      <c r="L613" s="75"/>
    </row>
    <row r="614" spans="1:33" ht="14.25" x14ac:dyDescent="0.2">
      <c r="A614" s="16"/>
      <c r="B614" s="17"/>
      <c r="C614" s="17" t="s">
        <v>1209</v>
      </c>
      <c r="D614" s="71" t="s">
        <v>1208</v>
      </c>
      <c r="E614" s="72">
        <f>Source!CA492</f>
        <v>55</v>
      </c>
      <c r="F614" s="76"/>
      <c r="G614" s="74"/>
      <c r="H614" s="73">
        <f>SUM(U608:U615)</f>
        <v>8.58</v>
      </c>
      <c r="I614" s="77"/>
      <c r="J614" s="17">
        <f>Source!AU492</f>
        <v>55</v>
      </c>
      <c r="K614" s="73">
        <f>SUM(V608:V615)</f>
        <v>302.66000000000003</v>
      </c>
      <c r="L614" s="75"/>
    </row>
    <row r="615" spans="1:33" ht="14.25" x14ac:dyDescent="0.2">
      <c r="A615" s="20"/>
      <c r="B615" s="21"/>
      <c r="C615" s="21" t="s">
        <v>1210</v>
      </c>
      <c r="D615" s="78" t="s">
        <v>1211</v>
      </c>
      <c r="E615" s="79">
        <f>Source!AQ492</f>
        <v>75.3</v>
      </c>
      <c r="F615" s="80"/>
      <c r="G615" s="81" t="str">
        <f>Source!DI492</f>
        <v/>
      </c>
      <c r="H615" s="80"/>
      <c r="I615" s="81"/>
      <c r="J615" s="81"/>
      <c r="K615" s="80"/>
      <c r="L615" s="82">
        <f>Source!U492</f>
        <v>1.506</v>
      </c>
    </row>
    <row r="616" spans="1:33" ht="15" x14ac:dyDescent="0.2">
      <c r="G616" s="83">
        <f>ROUND(Source!AC492*Source!I492, 2)+ROUND(Source!AF492*Source!I492, 2)+ROUND((((Source!ET492)-(Source!EU492))+Source!AE492)*Source!I492, 2)+SUM(H613:H614)</f>
        <v>95.31</v>
      </c>
      <c r="H616" s="83"/>
      <c r="J616" s="83">
        <f>Source!O492+SUM(K613:K614)</f>
        <v>1929.6000000000001</v>
      </c>
      <c r="K616" s="83"/>
      <c r="L616" s="84">
        <f>Source!U492</f>
        <v>1.506</v>
      </c>
      <c r="O616" s="85">
        <f>G616</f>
        <v>95.31</v>
      </c>
      <c r="P616" s="85">
        <f>J616</f>
        <v>1929.6000000000001</v>
      </c>
      <c r="Q616" s="85">
        <f>L616</f>
        <v>1.506</v>
      </c>
      <c r="W616" s="52">
        <f>IF(Source!BI492&lt;=1,G616, 0)</f>
        <v>95.31</v>
      </c>
      <c r="X616" s="52">
        <f>IF(Source!BI492=2,G616, 0)</f>
        <v>0</v>
      </c>
      <c r="Y616" s="52">
        <f>IF(Source!BI492=3,G616, 0)</f>
        <v>0</v>
      </c>
      <c r="Z616" s="52">
        <f>IF(Source!BI492=4,G616, 0)</f>
        <v>0</v>
      </c>
    </row>
    <row r="618" spans="1:33" ht="15" x14ac:dyDescent="0.2">
      <c r="A618" s="86" t="str">
        <f>CONCATENATE("Итого по разделу: ", Source!G495)</f>
        <v>Итого по разделу: Туалет</v>
      </c>
      <c r="B618" s="86"/>
      <c r="C618" s="86"/>
      <c r="D618" s="86"/>
      <c r="E618" s="86"/>
      <c r="F618" s="86"/>
      <c r="G618" s="83">
        <f>SUM(O541:O617)</f>
        <v>4130.13</v>
      </c>
      <c r="H618" s="64"/>
      <c r="I618" s="87"/>
      <c r="J618" s="83">
        <f>SUM(P541:P617)</f>
        <v>68195.310000000012</v>
      </c>
      <c r="K618" s="64"/>
      <c r="L618" s="84">
        <f>SUM(Q541:Q617)</f>
        <v>31.251749000000004</v>
      </c>
      <c r="AG618" s="88" t="str">
        <f>CONCATENATE("Итого по разделу: ", Source!G495)</f>
        <v>Итого по разделу: Туалет</v>
      </c>
    </row>
    <row r="620" spans="1:33" ht="14.25" x14ac:dyDescent="0.2">
      <c r="C620" s="17" t="str">
        <f>Source!H524</f>
        <v>ОЗП</v>
      </c>
      <c r="J620" s="65">
        <f>Source!F524</f>
        <v>8945.08</v>
      </c>
      <c r="K620" s="65"/>
    </row>
    <row r="621" spans="1:33" ht="14.25" x14ac:dyDescent="0.2">
      <c r="C621" s="17" t="str">
        <f>Source!H525</f>
        <v>ЭММ, в т.ч. ЗПМ</v>
      </c>
      <c r="J621" s="65">
        <f>Source!F525</f>
        <v>1840.27</v>
      </c>
      <c r="K621" s="65"/>
    </row>
    <row r="622" spans="1:33" ht="14.25" x14ac:dyDescent="0.2">
      <c r="C622" s="17" t="str">
        <f>Source!H526</f>
        <v>Стоимость материалов</v>
      </c>
      <c r="J622" s="65">
        <f>Source!F526</f>
        <v>41959.01</v>
      </c>
      <c r="K622" s="65"/>
    </row>
    <row r="623" spans="1:33" ht="14.25" x14ac:dyDescent="0.2">
      <c r="C623" s="17" t="str">
        <f>Source!H527</f>
        <v>НР</v>
      </c>
      <c r="J623" s="65">
        <f>Source!F527</f>
        <v>10088.030000000001</v>
      </c>
      <c r="K623" s="65"/>
    </row>
    <row r="624" spans="1:33" ht="14.25" x14ac:dyDescent="0.2">
      <c r="C624" s="17" t="str">
        <f>Source!H528</f>
        <v>СП</v>
      </c>
      <c r="J624" s="65">
        <f>Source!F528</f>
        <v>5362.92</v>
      </c>
      <c r="K624" s="65"/>
    </row>
    <row r="625" spans="1:33" ht="14.25" x14ac:dyDescent="0.2">
      <c r="C625" s="17" t="str">
        <f>Source!H529</f>
        <v>Всего</v>
      </c>
      <c r="J625" s="65">
        <f>Source!F529</f>
        <v>68195.31</v>
      </c>
      <c r="K625" s="65"/>
    </row>
    <row r="626" spans="1:33" ht="14.25" x14ac:dyDescent="0.2">
      <c r="C626" s="17" t="str">
        <f>Source!H530</f>
        <v>НДС 20%</v>
      </c>
      <c r="J626" s="65">
        <f>Source!F530</f>
        <v>13639.06</v>
      </c>
      <c r="K626" s="65"/>
    </row>
    <row r="627" spans="1:33" ht="14.25" x14ac:dyDescent="0.2">
      <c r="C627" s="17" t="str">
        <f>Source!H531</f>
        <v>Итого с НДС</v>
      </c>
      <c r="J627" s="65">
        <f>Source!F531</f>
        <v>81834.37</v>
      </c>
      <c r="K627" s="65"/>
    </row>
    <row r="629" spans="1:33" ht="15" x14ac:dyDescent="0.2">
      <c r="A629" s="86" t="str">
        <f>CONCATENATE("Итого по смете: ", Source!G563)</f>
        <v>Итого по смете: Благоустройство кладбища в д. Нижнее Николаевское</v>
      </c>
      <c r="B629" s="86"/>
      <c r="C629" s="86"/>
      <c r="D629" s="86"/>
      <c r="E629" s="86"/>
      <c r="F629" s="86"/>
      <c r="G629" s="83">
        <f>SUM(O1:O628)</f>
        <v>471806.51</v>
      </c>
      <c r="H629" s="64"/>
      <c r="I629" s="87"/>
      <c r="J629" s="83">
        <f>SUM(P1:P628)</f>
        <v>3745072.2300000004</v>
      </c>
      <c r="K629" s="64"/>
      <c r="L629" s="84">
        <f>SUM(Q1:Q628)</f>
        <v>2469.4044459999986</v>
      </c>
      <c r="AG629" s="88" t="str">
        <f>CONCATENATE("Итого по смете: ", Source!G563)</f>
        <v>Итого по смете: Благоустройство кладбища в д. Нижнее Николаевское</v>
      </c>
    </row>
    <row r="631" spans="1:33" ht="14.25" x14ac:dyDescent="0.2">
      <c r="C631" s="17" t="str">
        <f>Source!H592</f>
        <v>ОЗП</v>
      </c>
      <c r="J631" s="65">
        <f>Source!F592</f>
        <v>749904.64</v>
      </c>
      <c r="K631" s="65"/>
    </row>
    <row r="632" spans="1:33" ht="14.25" x14ac:dyDescent="0.2">
      <c r="C632" s="17" t="str">
        <f>Source!H593</f>
        <v>ЭММ, в т.ч. ЗПМ</v>
      </c>
      <c r="J632" s="65">
        <f>Source!F593</f>
        <v>467699.64</v>
      </c>
      <c r="K632" s="65"/>
    </row>
    <row r="633" spans="1:33" ht="14.25" x14ac:dyDescent="0.2">
      <c r="C633" s="17" t="str">
        <f>Source!H594</f>
        <v>Стоимость материалов</v>
      </c>
      <c r="J633" s="65">
        <f>Source!F594</f>
        <v>966613.95</v>
      </c>
      <c r="K633" s="65"/>
    </row>
    <row r="634" spans="1:33" ht="14.25" x14ac:dyDescent="0.2">
      <c r="C634" s="17" t="str">
        <f>Source!H595</f>
        <v>НР</v>
      </c>
      <c r="J634" s="65">
        <f>Source!F595</f>
        <v>940723.5</v>
      </c>
      <c r="K634" s="65"/>
    </row>
    <row r="635" spans="1:33" ht="14.25" x14ac:dyDescent="0.2">
      <c r="C635" s="17" t="str">
        <f>Source!H596</f>
        <v>СП</v>
      </c>
      <c r="J635" s="65">
        <f>Source!F596</f>
        <v>620130.5</v>
      </c>
      <c r="K635" s="65"/>
    </row>
    <row r="636" spans="1:33" ht="14.25" x14ac:dyDescent="0.2">
      <c r="C636" s="17" t="str">
        <f>Source!H597</f>
        <v>Всего</v>
      </c>
      <c r="J636" s="65">
        <f>Source!F597</f>
        <v>3745072.23</v>
      </c>
      <c r="K636" s="65"/>
    </row>
    <row r="637" spans="1:33" ht="14.25" x14ac:dyDescent="0.2">
      <c r="C637" s="17" t="str">
        <f>Source!H598</f>
        <v>НДС 20%</v>
      </c>
      <c r="J637" s="65">
        <f>Source!F598</f>
        <v>749014.45</v>
      </c>
      <c r="K637" s="65"/>
    </row>
    <row r="638" spans="1:33" ht="14.25" x14ac:dyDescent="0.2">
      <c r="C638" s="17" t="str">
        <f>Source!H599</f>
        <v>Итого с НДС</v>
      </c>
      <c r="J638" s="65">
        <f>Source!F599</f>
        <v>4494086.68</v>
      </c>
      <c r="K638" s="65"/>
    </row>
    <row r="642" spans="1:12" ht="14.25" x14ac:dyDescent="0.2">
      <c r="A642" s="103" t="s">
        <v>1214</v>
      </c>
      <c r="B642" s="103"/>
      <c r="C642" s="104" t="str">
        <f>IF(Source!AC12&lt;&gt;"", Source!AC12," ")</f>
        <v xml:space="preserve"> </v>
      </c>
      <c r="D642" s="54"/>
      <c r="E642" s="104"/>
      <c r="F642" s="104"/>
      <c r="G642" s="54"/>
      <c r="H642" s="104" t="str">
        <f>IF(Source!AB12&lt;&gt;"", Source!AB12," ")</f>
        <v xml:space="preserve"> </v>
      </c>
      <c r="I642" s="104"/>
      <c r="J642" s="104"/>
      <c r="K642" s="104"/>
      <c r="L642" s="54"/>
    </row>
    <row r="643" spans="1:12" ht="14.25" x14ac:dyDescent="0.2">
      <c r="A643" s="54"/>
      <c r="B643" s="54"/>
      <c r="C643" s="105" t="s">
        <v>1215</v>
      </c>
      <c r="D643" s="54"/>
      <c r="E643" s="11" t="s">
        <v>1216</v>
      </c>
      <c r="F643" s="11"/>
      <c r="G643" s="54"/>
      <c r="H643" s="11" t="s">
        <v>1217</v>
      </c>
      <c r="I643" s="11"/>
      <c r="J643" s="11"/>
      <c r="K643" s="11"/>
      <c r="L643" s="54"/>
    </row>
    <row r="644" spans="1:12" ht="14.25" x14ac:dyDescent="0.2">
      <c r="A644" s="54"/>
      <c r="B644" s="72"/>
      <c r="C644" s="54"/>
      <c r="D644" s="72"/>
      <c r="E644" s="54" t="s">
        <v>1218</v>
      </c>
      <c r="F644" s="54"/>
      <c r="G644" s="54"/>
      <c r="H644" s="54"/>
      <c r="I644" s="54"/>
      <c r="J644" s="54"/>
      <c r="K644" s="54"/>
      <c r="L644" s="54"/>
    </row>
    <row r="645" spans="1:12" ht="14.25" x14ac:dyDescent="0.2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</row>
    <row r="646" spans="1:12" ht="14.25" x14ac:dyDescent="0.2">
      <c r="A646" s="103" t="s">
        <v>1219</v>
      </c>
      <c r="B646" s="103"/>
      <c r="C646" s="104" t="str">
        <f>IF(Source!AE12&lt;&gt;"", Source!AE12," ")</f>
        <v xml:space="preserve"> </v>
      </c>
      <c r="D646" s="54"/>
      <c r="E646" s="104"/>
      <c r="F646" s="104"/>
      <c r="G646" s="54"/>
      <c r="H646" s="104" t="str">
        <f>IF(Source!AD12&lt;&gt;"", Source!AD12," ")</f>
        <v xml:space="preserve"> </v>
      </c>
      <c r="I646" s="104"/>
      <c r="J646" s="104"/>
      <c r="K646" s="104"/>
      <c r="L646" s="54"/>
    </row>
    <row r="647" spans="1:12" ht="14.25" x14ac:dyDescent="0.2">
      <c r="A647" s="54"/>
      <c r="B647" s="54"/>
      <c r="C647" s="105" t="s">
        <v>1215</v>
      </c>
      <c r="D647" s="54"/>
      <c r="E647" s="11" t="s">
        <v>1216</v>
      </c>
      <c r="F647" s="11"/>
      <c r="G647" s="54"/>
      <c r="H647" s="11" t="s">
        <v>1217</v>
      </c>
      <c r="I647" s="11"/>
      <c r="J647" s="11"/>
      <c r="K647" s="11"/>
      <c r="L647" s="54"/>
    </row>
    <row r="648" spans="1:12" ht="14.25" x14ac:dyDescent="0.2">
      <c r="C648" s="54"/>
      <c r="D648" s="106"/>
      <c r="E648" s="54" t="s">
        <v>1218</v>
      </c>
      <c r="L648" s="54"/>
    </row>
  </sheetData>
  <mergeCells count="307">
    <mergeCell ref="E647:F647"/>
    <mergeCell ref="H647:K647"/>
    <mergeCell ref="J637:K637"/>
    <mergeCell ref="J638:K638"/>
    <mergeCell ref="A642:B642"/>
    <mergeCell ref="E643:F643"/>
    <mergeCell ref="H643:K643"/>
    <mergeCell ref="A646:B646"/>
    <mergeCell ref="J631:K631"/>
    <mergeCell ref="J632:K632"/>
    <mergeCell ref="J633:K633"/>
    <mergeCell ref="J634:K634"/>
    <mergeCell ref="J635:K635"/>
    <mergeCell ref="J636:K636"/>
    <mergeCell ref="J627:K627"/>
    <mergeCell ref="A629:F629"/>
    <mergeCell ref="J629:K629"/>
    <mergeCell ref="G629:H629"/>
    <mergeCell ref="J621:K621"/>
    <mergeCell ref="J622:K622"/>
    <mergeCell ref="J623:K623"/>
    <mergeCell ref="J624:K624"/>
    <mergeCell ref="J625:K625"/>
    <mergeCell ref="J626:K626"/>
    <mergeCell ref="G616:H616"/>
    <mergeCell ref="J616:K616"/>
    <mergeCell ref="A618:F618"/>
    <mergeCell ref="J618:K618"/>
    <mergeCell ref="G618:H618"/>
    <mergeCell ref="J620:K620"/>
    <mergeCell ref="G588:H588"/>
    <mergeCell ref="J588:K588"/>
    <mergeCell ref="G597:H597"/>
    <mergeCell ref="J597:K597"/>
    <mergeCell ref="G607:H607"/>
    <mergeCell ref="J607:K607"/>
    <mergeCell ref="G574:H574"/>
    <mergeCell ref="J574:K574"/>
    <mergeCell ref="G577:H577"/>
    <mergeCell ref="J577:K577"/>
    <mergeCell ref="G580:H580"/>
    <mergeCell ref="J580:K580"/>
    <mergeCell ref="G550:H550"/>
    <mergeCell ref="J550:K550"/>
    <mergeCell ref="G561:H561"/>
    <mergeCell ref="J561:K561"/>
    <mergeCell ref="G564:H564"/>
    <mergeCell ref="J564:K564"/>
    <mergeCell ref="J534:K534"/>
    <mergeCell ref="J535:K535"/>
    <mergeCell ref="J536:K536"/>
    <mergeCell ref="J537:K537"/>
    <mergeCell ref="J538:K538"/>
    <mergeCell ref="A541:L541"/>
    <mergeCell ref="A529:F529"/>
    <mergeCell ref="J529:K529"/>
    <mergeCell ref="G529:H529"/>
    <mergeCell ref="J531:K531"/>
    <mergeCell ref="J532:K532"/>
    <mergeCell ref="J533:K533"/>
    <mergeCell ref="G515:H515"/>
    <mergeCell ref="J515:K515"/>
    <mergeCell ref="G518:H518"/>
    <mergeCell ref="J518:K518"/>
    <mergeCell ref="G527:H527"/>
    <mergeCell ref="J527:K527"/>
    <mergeCell ref="G488:H488"/>
    <mergeCell ref="J488:K488"/>
    <mergeCell ref="G498:H498"/>
    <mergeCell ref="J498:K498"/>
    <mergeCell ref="G505:H505"/>
    <mergeCell ref="J505:K505"/>
    <mergeCell ref="J461:K461"/>
    <mergeCell ref="J462:K462"/>
    <mergeCell ref="A465:L465"/>
    <mergeCell ref="G475:H475"/>
    <mergeCell ref="J475:K475"/>
    <mergeCell ref="G485:H485"/>
    <mergeCell ref="J485:K485"/>
    <mergeCell ref="J455:K455"/>
    <mergeCell ref="J456:K456"/>
    <mergeCell ref="J457:K457"/>
    <mergeCell ref="J458:K458"/>
    <mergeCell ref="J459:K459"/>
    <mergeCell ref="J460:K460"/>
    <mergeCell ref="J445:K445"/>
    <mergeCell ref="A448:L448"/>
    <mergeCell ref="G451:H451"/>
    <mergeCell ref="J451:K451"/>
    <mergeCell ref="A453:F453"/>
    <mergeCell ref="J453:K453"/>
    <mergeCell ref="G453:H453"/>
    <mergeCell ref="J439:K439"/>
    <mergeCell ref="J440:K440"/>
    <mergeCell ref="J441:K441"/>
    <mergeCell ref="J442:K442"/>
    <mergeCell ref="J443:K443"/>
    <mergeCell ref="J444:K444"/>
    <mergeCell ref="G434:H434"/>
    <mergeCell ref="J434:K434"/>
    <mergeCell ref="A436:F436"/>
    <mergeCell ref="J436:K436"/>
    <mergeCell ref="G436:H436"/>
    <mergeCell ref="J438:K438"/>
    <mergeCell ref="G419:H419"/>
    <mergeCell ref="J419:K419"/>
    <mergeCell ref="G422:H422"/>
    <mergeCell ref="J422:K422"/>
    <mergeCell ref="G431:H431"/>
    <mergeCell ref="J431:K431"/>
    <mergeCell ref="G401:H401"/>
    <mergeCell ref="J401:K401"/>
    <mergeCell ref="G405:H405"/>
    <mergeCell ref="J405:K405"/>
    <mergeCell ref="G415:H415"/>
    <mergeCell ref="J415:K415"/>
    <mergeCell ref="G385:H385"/>
    <mergeCell ref="J385:K385"/>
    <mergeCell ref="G388:H388"/>
    <mergeCell ref="J388:K388"/>
    <mergeCell ref="G391:H391"/>
    <mergeCell ref="J391:K391"/>
    <mergeCell ref="G353:H353"/>
    <mergeCell ref="J353:K353"/>
    <mergeCell ref="G363:H363"/>
    <mergeCell ref="J363:K363"/>
    <mergeCell ref="G373:H373"/>
    <mergeCell ref="J373:K373"/>
    <mergeCell ref="G330:H330"/>
    <mergeCell ref="J330:K330"/>
    <mergeCell ref="G333:H333"/>
    <mergeCell ref="J333:K333"/>
    <mergeCell ref="G343:H343"/>
    <mergeCell ref="J343:K343"/>
    <mergeCell ref="J312:K312"/>
    <mergeCell ref="J313:K313"/>
    <mergeCell ref="J314:K314"/>
    <mergeCell ref="J315:K315"/>
    <mergeCell ref="J316:K316"/>
    <mergeCell ref="A319:L319"/>
    <mergeCell ref="A307:F307"/>
    <mergeCell ref="J307:K307"/>
    <mergeCell ref="G307:H307"/>
    <mergeCell ref="J309:K309"/>
    <mergeCell ref="J310:K310"/>
    <mergeCell ref="J311:K311"/>
    <mergeCell ref="G299:H299"/>
    <mergeCell ref="J299:K299"/>
    <mergeCell ref="G302:H302"/>
    <mergeCell ref="J302:K302"/>
    <mergeCell ref="G305:H305"/>
    <mergeCell ref="J305:K305"/>
    <mergeCell ref="G282:H282"/>
    <mergeCell ref="J282:K282"/>
    <mergeCell ref="G285:H285"/>
    <mergeCell ref="J285:K285"/>
    <mergeCell ref="G296:H296"/>
    <mergeCell ref="J296:K296"/>
    <mergeCell ref="G258:H258"/>
    <mergeCell ref="J258:K258"/>
    <mergeCell ref="G269:H269"/>
    <mergeCell ref="J269:K269"/>
    <mergeCell ref="G272:H272"/>
    <mergeCell ref="J272:K272"/>
    <mergeCell ref="G241:H241"/>
    <mergeCell ref="J241:K241"/>
    <mergeCell ref="G244:H244"/>
    <mergeCell ref="J244:K244"/>
    <mergeCell ref="G255:H255"/>
    <mergeCell ref="J255:K255"/>
    <mergeCell ref="A214:L214"/>
    <mergeCell ref="G221:H221"/>
    <mergeCell ref="J221:K221"/>
    <mergeCell ref="G228:H228"/>
    <mergeCell ref="J228:K228"/>
    <mergeCell ref="G231:H231"/>
    <mergeCell ref="J231:K231"/>
    <mergeCell ref="J206:K206"/>
    <mergeCell ref="J207:K207"/>
    <mergeCell ref="J208:K208"/>
    <mergeCell ref="J209:K209"/>
    <mergeCell ref="J210:K210"/>
    <mergeCell ref="J211:K211"/>
    <mergeCell ref="J199:K199"/>
    <mergeCell ref="A202:F202"/>
    <mergeCell ref="J202:K202"/>
    <mergeCell ref="G202:H202"/>
    <mergeCell ref="J204:K204"/>
    <mergeCell ref="J205:K205"/>
    <mergeCell ref="J193:K193"/>
    <mergeCell ref="J194:K194"/>
    <mergeCell ref="J195:K195"/>
    <mergeCell ref="J196:K196"/>
    <mergeCell ref="J197:K197"/>
    <mergeCell ref="J198:K198"/>
    <mergeCell ref="G188:H188"/>
    <mergeCell ref="J188:K188"/>
    <mergeCell ref="A190:F190"/>
    <mergeCell ref="J190:K190"/>
    <mergeCell ref="G190:H190"/>
    <mergeCell ref="J192:K192"/>
    <mergeCell ref="G179:H179"/>
    <mergeCell ref="J179:K179"/>
    <mergeCell ref="G182:H182"/>
    <mergeCell ref="J182:K182"/>
    <mergeCell ref="G185:H185"/>
    <mergeCell ref="J185:K185"/>
    <mergeCell ref="J160:K160"/>
    <mergeCell ref="A163:L163"/>
    <mergeCell ref="G173:H173"/>
    <mergeCell ref="J173:K173"/>
    <mergeCell ref="G176:H176"/>
    <mergeCell ref="J176:K176"/>
    <mergeCell ref="J154:K154"/>
    <mergeCell ref="J155:K155"/>
    <mergeCell ref="J156:K156"/>
    <mergeCell ref="J157:K157"/>
    <mergeCell ref="J158:K158"/>
    <mergeCell ref="J159:K159"/>
    <mergeCell ref="G149:H149"/>
    <mergeCell ref="J149:K149"/>
    <mergeCell ref="A151:F151"/>
    <mergeCell ref="J151:K151"/>
    <mergeCell ref="G151:H151"/>
    <mergeCell ref="J153:K153"/>
    <mergeCell ref="G133:H133"/>
    <mergeCell ref="J133:K133"/>
    <mergeCell ref="G136:H136"/>
    <mergeCell ref="J136:K136"/>
    <mergeCell ref="G139:H139"/>
    <mergeCell ref="J139:K139"/>
    <mergeCell ref="G117:H117"/>
    <mergeCell ref="J117:K117"/>
    <mergeCell ref="G127:H127"/>
    <mergeCell ref="J127:K127"/>
    <mergeCell ref="G130:H130"/>
    <mergeCell ref="J130:K130"/>
    <mergeCell ref="G97:H97"/>
    <mergeCell ref="J97:K97"/>
    <mergeCell ref="A99:L99"/>
    <mergeCell ref="G111:H111"/>
    <mergeCell ref="J111:K111"/>
    <mergeCell ref="G114:H114"/>
    <mergeCell ref="J114:K114"/>
    <mergeCell ref="J79:K79"/>
    <mergeCell ref="J80:K80"/>
    <mergeCell ref="J81:K81"/>
    <mergeCell ref="J82:K82"/>
    <mergeCell ref="J83:K83"/>
    <mergeCell ref="A86:L86"/>
    <mergeCell ref="A74:F74"/>
    <mergeCell ref="J74:K74"/>
    <mergeCell ref="G74:H74"/>
    <mergeCell ref="J76:K76"/>
    <mergeCell ref="J77:K77"/>
    <mergeCell ref="J78:K78"/>
    <mergeCell ref="G54:H54"/>
    <mergeCell ref="J54:K54"/>
    <mergeCell ref="G63:H63"/>
    <mergeCell ref="J63:K63"/>
    <mergeCell ref="G72:H72"/>
    <mergeCell ref="J72:K72"/>
    <mergeCell ref="A26:L26"/>
    <mergeCell ref="A30:L30"/>
    <mergeCell ref="G38:H38"/>
    <mergeCell ref="J38:K38"/>
    <mergeCell ref="G45:H45"/>
    <mergeCell ref="J45:K45"/>
    <mergeCell ref="C23:F23"/>
    <mergeCell ref="G23:H23"/>
    <mergeCell ref="I23:J23"/>
    <mergeCell ref="K23:L23"/>
    <mergeCell ref="C24:F24"/>
    <mergeCell ref="G24:H24"/>
    <mergeCell ref="I24:J24"/>
    <mergeCell ref="K24:L24"/>
    <mergeCell ref="C21:F21"/>
    <mergeCell ref="G21:H21"/>
    <mergeCell ref="I21:J21"/>
    <mergeCell ref="K21:L21"/>
    <mergeCell ref="C22:F22"/>
    <mergeCell ref="G22:H22"/>
    <mergeCell ref="I22:J22"/>
    <mergeCell ref="K22:L22"/>
    <mergeCell ref="C19:F19"/>
    <mergeCell ref="G19:H19"/>
    <mergeCell ref="I19:J19"/>
    <mergeCell ref="K19:L19"/>
    <mergeCell ref="C20:F20"/>
    <mergeCell ref="G20:H20"/>
    <mergeCell ref="I20:J20"/>
    <mergeCell ref="K20:L20"/>
    <mergeCell ref="B11:K11"/>
    <mergeCell ref="B12:K12"/>
    <mergeCell ref="A14:L14"/>
    <mergeCell ref="G17:H17"/>
    <mergeCell ref="I17:J17"/>
    <mergeCell ref="C18:F18"/>
    <mergeCell ref="G18:H18"/>
    <mergeCell ref="I18:J18"/>
    <mergeCell ref="K18:L18"/>
    <mergeCell ref="B2:K2"/>
    <mergeCell ref="B3:K3"/>
    <mergeCell ref="F5:G5"/>
    <mergeCell ref="H5:K5"/>
    <mergeCell ref="B7:K7"/>
    <mergeCell ref="B9:K9"/>
  </mergeCells>
  <pageMargins left="0.4" right="0.2" top="0.2" bottom="0.31" header="0.2" footer="0.2"/>
  <pageSetup paperSize="9" scale="58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76F3-1EE7-49F8-9EE6-96944B30BB55}">
  <dimension ref="A1:AB386"/>
  <sheetViews>
    <sheetView workbookViewId="0"/>
  </sheetViews>
  <sheetFormatPr defaultRowHeight="12.75" x14ac:dyDescent="0.2"/>
  <sheetData>
    <row r="1" spans="1:28" x14ac:dyDescent="0.2">
      <c r="A1" t="s">
        <v>1248</v>
      </c>
      <c r="B1" t="s">
        <v>1250</v>
      </c>
      <c r="C1" t="s">
        <v>1251</v>
      </c>
      <c r="D1" t="s">
        <v>1252</v>
      </c>
      <c r="E1" t="s">
        <v>1253</v>
      </c>
      <c r="F1" t="s">
        <v>1254</v>
      </c>
      <c r="G1" t="s">
        <v>1255</v>
      </c>
      <c r="H1" t="s">
        <v>1256</v>
      </c>
      <c r="I1" t="s">
        <v>1257</v>
      </c>
      <c r="J1" t="s">
        <v>1258</v>
      </c>
      <c r="K1" t="s">
        <v>1259</v>
      </c>
      <c r="L1" t="s">
        <v>1260</v>
      </c>
      <c r="M1" t="s">
        <v>1261</v>
      </c>
      <c r="N1" t="s">
        <v>1262</v>
      </c>
      <c r="O1" t="s">
        <v>1249</v>
      </c>
    </row>
    <row r="2" spans="1:28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  <c r="K2">
        <v>1</v>
      </c>
      <c r="L2">
        <v>94798619</v>
      </c>
      <c r="M2">
        <v>0</v>
      </c>
      <c r="N2">
        <v>0</v>
      </c>
      <c r="O2">
        <v>0</v>
      </c>
    </row>
    <row r="4" spans="1:28" x14ac:dyDescent="0.2">
      <c r="A4" t="s">
        <v>1220</v>
      </c>
      <c r="B4" t="s">
        <v>1221</v>
      </c>
      <c r="C4" t="s">
        <v>1222</v>
      </c>
      <c r="D4" t="s">
        <v>1223</v>
      </c>
      <c r="E4" t="s">
        <v>1224</v>
      </c>
      <c r="F4" t="s">
        <v>1225</v>
      </c>
      <c r="G4" t="s">
        <v>1226</v>
      </c>
      <c r="H4" t="s">
        <v>1227</v>
      </c>
      <c r="I4" t="s">
        <v>1228</v>
      </c>
      <c r="J4" t="s">
        <v>1229</v>
      </c>
      <c r="K4" t="s">
        <v>1230</v>
      </c>
      <c r="L4" t="s">
        <v>1231</v>
      </c>
      <c r="M4" t="s">
        <v>1232</v>
      </c>
      <c r="N4" t="s">
        <v>1233</v>
      </c>
      <c r="O4" t="s">
        <v>1234</v>
      </c>
      <c r="P4" t="s">
        <v>1235</v>
      </c>
      <c r="Q4" t="s">
        <v>1236</v>
      </c>
      <c r="R4" t="s">
        <v>1237</v>
      </c>
      <c r="S4" t="s">
        <v>1238</v>
      </c>
      <c r="T4" t="s">
        <v>1239</v>
      </c>
      <c r="U4" t="s">
        <v>1243</v>
      </c>
      <c r="V4" t="s">
        <v>1244</v>
      </c>
      <c r="W4" t="s">
        <v>1245</v>
      </c>
      <c r="X4" t="s">
        <v>1246</v>
      </c>
      <c r="Y4" t="s">
        <v>1247</v>
      </c>
      <c r="Z4" t="s">
        <v>1240</v>
      </c>
      <c r="AA4" t="s">
        <v>1241</v>
      </c>
      <c r="AB4" t="s">
        <v>1242</v>
      </c>
    </row>
    <row r="6" spans="1:28" x14ac:dyDescent="0.2">
      <c r="A6">
        <f>Source!A20</f>
        <v>3</v>
      </c>
      <c r="B6">
        <v>20</v>
      </c>
      <c r="G6" t="str">
        <f>Source!G20</f>
        <v>Новая локальная смета</v>
      </c>
    </row>
    <row r="7" spans="1:28" x14ac:dyDescent="0.2">
      <c r="A7">
        <f>Source!A24</f>
        <v>4</v>
      </c>
      <c r="B7">
        <v>24</v>
      </c>
      <c r="G7" t="str">
        <f>Source!G24</f>
        <v>Подготовительные работы</v>
      </c>
    </row>
    <row r="8" spans="1:28" x14ac:dyDescent="0.2">
      <c r="A8">
        <v>20</v>
      </c>
      <c r="B8">
        <v>2</v>
      </c>
      <c r="C8">
        <v>2</v>
      </c>
      <c r="D8">
        <v>0</v>
      </c>
      <c r="E8">
        <f>SmtRes!AV2</f>
        <v>0</v>
      </c>
      <c r="F8" t="str">
        <f>SmtRes!I2</f>
        <v>331601</v>
      </c>
      <c r="G8" t="str">
        <f>SmtRes!K2</f>
        <v>Пила с карбюраторным двигателем</v>
      </c>
      <c r="H8" t="str">
        <f>SmtRes!O2</f>
        <v>маш.-ч</v>
      </c>
      <c r="I8">
        <f>SmtRes!Y2*Source!I28</f>
        <v>0.34800000000000003</v>
      </c>
      <c r="J8">
        <f>SmtRes!AO2</f>
        <v>1</v>
      </c>
      <c r="K8">
        <f>SmtRes!AF2</f>
        <v>5.63</v>
      </c>
      <c r="L8">
        <f>SmtRes!DB2</f>
        <v>9.8000000000000007</v>
      </c>
      <c r="M8">
        <f>ROUND(ROUND(L8*Source!I28, 2)*1, 2)</f>
        <v>1.96</v>
      </c>
      <c r="N8">
        <f>SmtRes!AB2</f>
        <v>36.200000000000003</v>
      </c>
      <c r="O8">
        <f>ROUND(ROUND(L8*Source!I28, 2)*SmtRes!DA2, 2)</f>
        <v>12.6</v>
      </c>
      <c r="P8">
        <f>SmtRes!AG2</f>
        <v>0</v>
      </c>
      <c r="Q8">
        <f>SmtRes!DC2</f>
        <v>0</v>
      </c>
      <c r="R8">
        <f>ROUND(ROUND(Q8*Source!I28, 2)*1, 2)</f>
        <v>0</v>
      </c>
      <c r="S8">
        <f>SmtRes!AC2</f>
        <v>0</v>
      </c>
      <c r="T8">
        <f>ROUND(ROUND(Q8*Source!I28, 2)*SmtRes!AK2, 2)</f>
        <v>0</v>
      </c>
      <c r="U8">
        <v>2</v>
      </c>
      <c r="Z8">
        <f>SmtRes!X2</f>
        <v>-1981470537</v>
      </c>
      <c r="AA8">
        <v>1095459901</v>
      </c>
      <c r="AB8">
        <v>803684306</v>
      </c>
    </row>
    <row r="9" spans="1:28" x14ac:dyDescent="0.2">
      <c r="A9">
        <v>20</v>
      </c>
      <c r="B9">
        <v>1</v>
      </c>
      <c r="C9">
        <v>1</v>
      </c>
      <c r="D9">
        <v>0</v>
      </c>
      <c r="E9">
        <f>SmtRes!AV1</f>
        <v>1</v>
      </c>
      <c r="F9" t="str">
        <f>SmtRes!I1</f>
        <v>1-1038-21</v>
      </c>
      <c r="G9" t="str">
        <f>SmtRes!K1</f>
        <v>Рабочий строитель среднего разряда 3,8</v>
      </c>
      <c r="H9" t="str">
        <f>SmtRes!O1</f>
        <v>чел.-ч</v>
      </c>
      <c r="I9">
        <f>SmtRes!Y1*Source!I28</f>
        <v>1.042</v>
      </c>
      <c r="J9">
        <f>SmtRes!AO1</f>
        <v>1</v>
      </c>
      <c r="K9">
        <f>SmtRes!AH1</f>
        <v>8.7899999999999991</v>
      </c>
      <c r="L9">
        <f>SmtRes!DB1</f>
        <v>45.8</v>
      </c>
      <c r="M9">
        <f>ROUND(ROUND(L9*Source!I28, 2)*1, 2)</f>
        <v>9.16</v>
      </c>
      <c r="N9">
        <f>SmtRes!AD1</f>
        <v>8.7899999999999991</v>
      </c>
      <c r="O9">
        <f>ROUND(ROUND(L9*Source!I28, 2)*SmtRes!DA1, 2)</f>
        <v>9.16</v>
      </c>
      <c r="P9">
        <f>SmtRes!AG1</f>
        <v>0</v>
      </c>
      <c r="Q9">
        <f>SmtRes!DC1</f>
        <v>0</v>
      </c>
      <c r="R9">
        <f>ROUND(ROUND(Q9*Source!I28, 2)*1, 2)</f>
        <v>0</v>
      </c>
      <c r="S9">
        <f>SmtRes!AC1</f>
        <v>0</v>
      </c>
      <c r="T9">
        <f>ROUND(ROUND(Q9*Source!I28, 2)*SmtRes!AK1, 2)</f>
        <v>0</v>
      </c>
      <c r="U9">
        <v>1</v>
      </c>
      <c r="Z9">
        <f>SmtRes!X1</f>
        <v>-2139336833</v>
      </c>
      <c r="AA9">
        <v>-790120677</v>
      </c>
      <c r="AB9">
        <v>-340170861</v>
      </c>
    </row>
    <row r="10" spans="1:28" x14ac:dyDescent="0.2">
      <c r="A10">
        <v>20</v>
      </c>
      <c r="B10">
        <v>3</v>
      </c>
      <c r="C10">
        <v>1</v>
      </c>
      <c r="D10">
        <v>0</v>
      </c>
      <c r="E10">
        <f>SmtRes!AV3</f>
        <v>1</v>
      </c>
      <c r="F10" t="str">
        <f>SmtRes!I3</f>
        <v>1-1020-21</v>
      </c>
      <c r="G10" t="str">
        <f>SmtRes!K3</f>
        <v>Рабочий строитель среднего разряда 2</v>
      </c>
      <c r="H10" t="str">
        <f>SmtRes!O3</f>
        <v>чел.-ч</v>
      </c>
      <c r="I10">
        <f>SmtRes!Y3*Source!I29</f>
        <v>8.2000000000000011</v>
      </c>
      <c r="J10">
        <f>SmtRes!AO3</f>
        <v>1</v>
      </c>
      <c r="K10">
        <f>SmtRes!AH3</f>
        <v>7.29</v>
      </c>
      <c r="L10">
        <f>SmtRes!DB3</f>
        <v>298.89</v>
      </c>
      <c r="M10">
        <f>ROUND(ROUND(L10*Source!I29, 2)*1, 2)</f>
        <v>59.78</v>
      </c>
      <c r="N10">
        <f>SmtRes!AD3</f>
        <v>7.29</v>
      </c>
      <c r="O10">
        <f>ROUND(ROUND(L10*Source!I29, 2)*SmtRes!DA3, 2)</f>
        <v>59.78</v>
      </c>
      <c r="P10">
        <f>SmtRes!AG3</f>
        <v>0</v>
      </c>
      <c r="Q10">
        <f>SmtRes!DC3</f>
        <v>0</v>
      </c>
      <c r="R10">
        <f>ROUND(ROUND(Q10*Source!I29, 2)*1, 2)</f>
        <v>0</v>
      </c>
      <c r="S10">
        <f>SmtRes!AC3</f>
        <v>0</v>
      </c>
      <c r="T10">
        <f>ROUND(ROUND(Q10*Source!I29, 2)*SmtRes!AK3, 2)</f>
        <v>0</v>
      </c>
      <c r="U10">
        <v>1</v>
      </c>
      <c r="Z10">
        <f>SmtRes!X3</f>
        <v>1250814213</v>
      </c>
      <c r="AA10">
        <v>777447757</v>
      </c>
      <c r="AB10">
        <v>-1697901350</v>
      </c>
    </row>
    <row r="11" spans="1:28" x14ac:dyDescent="0.2">
      <c r="A11">
        <v>20</v>
      </c>
      <c r="B11">
        <v>8</v>
      </c>
      <c r="C11">
        <v>2</v>
      </c>
      <c r="D11">
        <v>0</v>
      </c>
      <c r="E11">
        <f>SmtRes!AV8</f>
        <v>0</v>
      </c>
      <c r="F11" t="str">
        <f>SmtRes!I8</f>
        <v>400001</v>
      </c>
      <c r="G11" t="str">
        <f>SmtRes!K8</f>
        <v>Автомобили бортовые, грузоподъемность до 5 т</v>
      </c>
      <c r="H11" t="str">
        <f>SmtRes!O8</f>
        <v>маш.-ч</v>
      </c>
      <c r="I11">
        <f>SmtRes!Y8*Source!I30</f>
        <v>1.9893600000000002</v>
      </c>
      <c r="J11">
        <f>SmtRes!AO8</f>
        <v>1</v>
      </c>
      <c r="K11">
        <f>SmtRes!AF8</f>
        <v>91.76</v>
      </c>
      <c r="L11">
        <f>SmtRes!DB8</f>
        <v>59.46</v>
      </c>
      <c r="M11">
        <f>ROUND(ROUND(L11*Source!I30, 2)*1, 2)</f>
        <v>182.54</v>
      </c>
      <c r="N11">
        <f>SmtRes!AB8</f>
        <v>1305.74</v>
      </c>
      <c r="O11">
        <f>ROUND(ROUND(L11*Source!I30, 2)*SmtRes!DA8, 2)</f>
        <v>2597.54</v>
      </c>
      <c r="P11">
        <f>SmtRes!AG8</f>
        <v>10.35</v>
      </c>
      <c r="Q11">
        <f>SmtRes!DC8</f>
        <v>6.7</v>
      </c>
      <c r="R11">
        <f>ROUND(ROUND(Q11*Source!I30, 2)*1, 2)</f>
        <v>20.57</v>
      </c>
      <c r="S11">
        <f>SmtRes!AC8</f>
        <v>365.04</v>
      </c>
      <c r="T11">
        <f>ROUND(ROUND(Q11*Source!I30, 2)*SmtRes!AK8, 2)</f>
        <v>725.5</v>
      </c>
      <c r="U11">
        <v>2</v>
      </c>
      <c r="Z11">
        <f>SmtRes!X8</f>
        <v>-671646184</v>
      </c>
      <c r="AA11">
        <v>807713937</v>
      </c>
      <c r="AB11">
        <v>1619992053</v>
      </c>
    </row>
    <row r="12" spans="1:28" x14ac:dyDescent="0.2">
      <c r="A12">
        <v>20</v>
      </c>
      <c r="B12">
        <v>7</v>
      </c>
      <c r="C12">
        <v>2</v>
      </c>
      <c r="D12">
        <v>0</v>
      </c>
      <c r="E12">
        <f>SmtRes!AV7</f>
        <v>0</v>
      </c>
      <c r="F12" t="str">
        <f>SmtRes!I7</f>
        <v>160402</v>
      </c>
      <c r="G12" t="str">
        <f>SmtRes!K7</f>
        <v>Машины бурильно-крановые на автомобиле, глубина бурения 3,5 м</v>
      </c>
      <c r="H12" t="str">
        <f>SmtRes!O7</f>
        <v>маш.-ч</v>
      </c>
      <c r="I12">
        <f>SmtRes!Y7*Source!I30</f>
        <v>26.844079999999998</v>
      </c>
      <c r="J12">
        <f>SmtRes!AO7</f>
        <v>1</v>
      </c>
      <c r="K12">
        <f>SmtRes!AF7</f>
        <v>123.86</v>
      </c>
      <c r="L12">
        <f>SmtRes!DB7</f>
        <v>1083.03</v>
      </c>
      <c r="M12">
        <f>ROUND(ROUND(L12*Source!I30, 2)*1, 2)</f>
        <v>3324.9</v>
      </c>
      <c r="N12">
        <f>SmtRes!AB7</f>
        <v>2147.73</v>
      </c>
      <c r="O12">
        <f>ROUND(ROUND(L12*Source!I30, 2)*SmtRes!DA7, 2)</f>
        <v>57653.77</v>
      </c>
      <c r="P12">
        <f>SmtRes!AG7</f>
        <v>10.35</v>
      </c>
      <c r="Q12">
        <f>SmtRes!DC7</f>
        <v>90.5</v>
      </c>
      <c r="R12">
        <f>ROUND(ROUND(Q12*Source!I30, 2)*1, 2)</f>
        <v>277.83999999999997</v>
      </c>
      <c r="S12">
        <f>SmtRes!AC7</f>
        <v>365.04</v>
      </c>
      <c r="T12">
        <f>ROUND(ROUND(Q12*Source!I30, 2)*SmtRes!AK7, 2)</f>
        <v>9799.42</v>
      </c>
      <c r="U12">
        <v>2</v>
      </c>
      <c r="Z12">
        <f>SmtRes!X7</f>
        <v>365905357</v>
      </c>
      <c r="AA12">
        <v>1651061585</v>
      </c>
      <c r="AB12">
        <v>-2144793753</v>
      </c>
    </row>
    <row r="13" spans="1:28" x14ac:dyDescent="0.2">
      <c r="A13">
        <v>20</v>
      </c>
      <c r="B13">
        <v>6</v>
      </c>
      <c r="C13">
        <v>2</v>
      </c>
      <c r="D13">
        <v>0</v>
      </c>
      <c r="E13">
        <f>SmtRes!AV6</f>
        <v>0</v>
      </c>
      <c r="F13" t="str">
        <f>SmtRes!I6</f>
        <v>110054</v>
      </c>
      <c r="G13" t="str">
        <f>SmtRes!K6</f>
        <v>Автобетоносмесители 5 м3</v>
      </c>
      <c r="H13" t="str">
        <f>SmtRes!O6</f>
        <v>маш.-ч</v>
      </c>
      <c r="I13">
        <f>SmtRes!Y6*Source!I30</f>
        <v>26.37744</v>
      </c>
      <c r="J13">
        <f>SmtRes!AO6</f>
        <v>1</v>
      </c>
      <c r="K13">
        <f>SmtRes!AF6</f>
        <v>189</v>
      </c>
      <c r="L13">
        <f>SmtRes!DB6</f>
        <v>1623.89</v>
      </c>
      <c r="M13">
        <f>ROUND(ROUND(L13*Source!I30, 2)*1, 2)</f>
        <v>4985.34</v>
      </c>
      <c r="N13">
        <f>SmtRes!AB6</f>
        <v>1532.79</v>
      </c>
      <c r="O13">
        <f>ROUND(ROUND(L13*Source!I30, 2)*SmtRes!DA6, 2)</f>
        <v>40431.11</v>
      </c>
      <c r="P13">
        <f>SmtRes!AG6</f>
        <v>12.1</v>
      </c>
      <c r="Q13">
        <f>SmtRes!DC6</f>
        <v>103.96</v>
      </c>
      <c r="R13">
        <f>ROUND(ROUND(Q13*Source!I30, 2)*1, 2)</f>
        <v>319.16000000000003</v>
      </c>
      <c r="S13">
        <f>SmtRes!AC6</f>
        <v>426.77</v>
      </c>
      <c r="T13">
        <f>ROUND(ROUND(Q13*Source!I30, 2)*SmtRes!AK6, 2)</f>
        <v>11256.77</v>
      </c>
      <c r="U13">
        <v>2</v>
      </c>
      <c r="Z13">
        <f>SmtRes!X6</f>
        <v>-1484005730</v>
      </c>
      <c r="AA13">
        <v>-1341846400</v>
      </c>
      <c r="AB13">
        <v>-1047769044</v>
      </c>
    </row>
    <row r="14" spans="1:28" x14ac:dyDescent="0.2">
      <c r="A14">
        <v>20</v>
      </c>
      <c r="B14">
        <v>4</v>
      </c>
      <c r="C14">
        <v>1</v>
      </c>
      <c r="D14">
        <v>0</v>
      </c>
      <c r="E14">
        <f>SmtRes!AV4</f>
        <v>1</v>
      </c>
      <c r="F14" t="str">
        <f>SmtRes!I4</f>
        <v>1-1030-21</v>
      </c>
      <c r="G14" t="str">
        <f>SmtRes!K4</f>
        <v>Рабочий строитель среднего разряда 3</v>
      </c>
      <c r="H14" t="str">
        <f>SmtRes!O4</f>
        <v>чел.-ч</v>
      </c>
      <c r="I14">
        <f>SmtRes!Y4*Source!I30</f>
        <v>87.531840000000003</v>
      </c>
      <c r="J14">
        <f>SmtRes!AO4</f>
        <v>1</v>
      </c>
      <c r="K14">
        <f>SmtRes!AH4</f>
        <v>7.97</v>
      </c>
      <c r="L14">
        <f>SmtRes!DB4</f>
        <v>227.24</v>
      </c>
      <c r="M14">
        <f>ROUND(ROUND(L14*Source!I30, 2)*1, 2)</f>
        <v>697.63</v>
      </c>
      <c r="N14">
        <f>SmtRes!AD4</f>
        <v>7.97</v>
      </c>
      <c r="O14">
        <f>ROUND(ROUND(L14*Source!I30, 2)*SmtRes!DA4, 2)</f>
        <v>697.63</v>
      </c>
      <c r="P14">
        <f>SmtRes!AG4</f>
        <v>0</v>
      </c>
      <c r="Q14">
        <f>SmtRes!DC4</f>
        <v>0</v>
      </c>
      <c r="R14">
        <f>ROUND(ROUND(Q14*Source!I30, 2)*1, 2)</f>
        <v>0</v>
      </c>
      <c r="S14">
        <f>SmtRes!AC4</f>
        <v>0</v>
      </c>
      <c r="T14">
        <f>ROUND(ROUND(Q14*Source!I30, 2)*SmtRes!AK4, 2)</f>
        <v>0</v>
      </c>
      <c r="U14">
        <v>1</v>
      </c>
      <c r="Z14">
        <f>SmtRes!X4</f>
        <v>756115135</v>
      </c>
      <c r="AA14">
        <v>-103154406</v>
      </c>
      <c r="AB14">
        <v>1494462434</v>
      </c>
    </row>
    <row r="15" spans="1:28" x14ac:dyDescent="0.2">
      <c r="A15">
        <v>20</v>
      </c>
      <c r="B15">
        <v>17</v>
      </c>
      <c r="C15">
        <v>2</v>
      </c>
      <c r="D15">
        <v>0</v>
      </c>
      <c r="E15">
        <f>SmtRes!AV17</f>
        <v>0</v>
      </c>
      <c r="F15" t="str">
        <f>SmtRes!I17</f>
        <v>400001</v>
      </c>
      <c r="G15" t="str">
        <f>SmtRes!K17</f>
        <v>Автомобили бортовые, грузоподъемность до 5 т</v>
      </c>
      <c r="H15" t="str">
        <f>SmtRes!O17</f>
        <v>маш.-ч</v>
      </c>
      <c r="I15">
        <f>SmtRes!Y17*Source!I33</f>
        <v>1.7205999999999997</v>
      </c>
      <c r="J15">
        <f>SmtRes!AO17</f>
        <v>1</v>
      </c>
      <c r="K15">
        <f>SmtRes!AF17</f>
        <v>91.76</v>
      </c>
      <c r="L15">
        <f>SmtRes!DB17</f>
        <v>25.69</v>
      </c>
      <c r="M15">
        <f>ROUND(ROUND(L15*Source!I33, 2)*1, 2)</f>
        <v>157.87</v>
      </c>
      <c r="N15">
        <f>SmtRes!AB17</f>
        <v>1305.74</v>
      </c>
      <c r="O15">
        <f>ROUND(ROUND(L15*Source!I33, 2)*SmtRes!DA17, 2)</f>
        <v>2246.4899999999998</v>
      </c>
      <c r="P15">
        <f>SmtRes!AG17</f>
        <v>10.35</v>
      </c>
      <c r="Q15">
        <f>SmtRes!DC17</f>
        <v>2.9</v>
      </c>
      <c r="R15">
        <f>ROUND(ROUND(Q15*Source!I33, 2)*1, 2)</f>
        <v>17.82</v>
      </c>
      <c r="S15">
        <f>SmtRes!AC17</f>
        <v>365.04</v>
      </c>
      <c r="T15">
        <f>ROUND(ROUND(Q15*Source!I33, 2)*SmtRes!AK17, 2)</f>
        <v>628.51</v>
      </c>
      <c r="U15">
        <v>2</v>
      </c>
      <c r="Z15">
        <f>SmtRes!X17</f>
        <v>-671646184</v>
      </c>
      <c r="AA15">
        <v>807713937</v>
      </c>
      <c r="AB15">
        <v>1619992053</v>
      </c>
    </row>
    <row r="16" spans="1:28" x14ac:dyDescent="0.2">
      <c r="A16">
        <v>20</v>
      </c>
      <c r="B16">
        <v>16</v>
      </c>
      <c r="C16">
        <v>2</v>
      </c>
      <c r="D16">
        <v>0</v>
      </c>
      <c r="E16">
        <f>SmtRes!AV16</f>
        <v>0</v>
      </c>
      <c r="F16" t="str">
        <f>SmtRes!I16</f>
        <v>091500</v>
      </c>
      <c r="G16" t="str">
        <f>SmtRes!K16</f>
        <v>Ямокопатели</v>
      </c>
      <c r="H16" t="str">
        <f>SmtRes!O16</f>
        <v>маш.-ч</v>
      </c>
      <c r="I16">
        <f>SmtRes!Y16*Source!I33</f>
        <v>1.7205999999999997</v>
      </c>
      <c r="J16">
        <f>SmtRes!AO16</f>
        <v>1</v>
      </c>
      <c r="K16">
        <f>SmtRes!AF16</f>
        <v>8.0299999999999994</v>
      </c>
      <c r="L16">
        <f>SmtRes!DB16</f>
        <v>2.25</v>
      </c>
      <c r="M16">
        <f>ROUND(ROUND(L16*Source!I33, 2)*1, 2)</f>
        <v>13.83</v>
      </c>
      <c r="N16">
        <f>SmtRes!AB16</f>
        <v>42.24</v>
      </c>
      <c r="O16">
        <f>ROUND(ROUND(L16*Source!I33, 2)*SmtRes!DA16, 2)</f>
        <v>72.75</v>
      </c>
      <c r="P16">
        <f>SmtRes!AG16</f>
        <v>0</v>
      </c>
      <c r="Q16">
        <f>SmtRes!DC16</f>
        <v>0</v>
      </c>
      <c r="R16">
        <f>ROUND(ROUND(Q16*Source!I33, 2)*1, 2)</f>
        <v>0</v>
      </c>
      <c r="S16">
        <f>SmtRes!AC16</f>
        <v>0</v>
      </c>
      <c r="T16">
        <f>ROUND(ROUND(Q16*Source!I33, 2)*SmtRes!AK16, 2)</f>
        <v>0</v>
      </c>
      <c r="U16">
        <v>2</v>
      </c>
      <c r="Z16">
        <f>SmtRes!X16</f>
        <v>-1548607267</v>
      </c>
      <c r="AA16">
        <v>140545076</v>
      </c>
      <c r="AB16">
        <v>895163219</v>
      </c>
    </row>
    <row r="17" spans="1:28" x14ac:dyDescent="0.2">
      <c r="A17">
        <v>20</v>
      </c>
      <c r="B17">
        <v>15</v>
      </c>
      <c r="C17">
        <v>2</v>
      </c>
      <c r="D17">
        <v>0</v>
      </c>
      <c r="E17">
        <f>SmtRes!AV15</f>
        <v>0</v>
      </c>
      <c r="F17" t="str">
        <f>SmtRes!I15</f>
        <v>040201</v>
      </c>
      <c r="G17" t="str">
        <f>SmtRes!K15</f>
        <v>Агрегаты сварочные передвижные с номинальным сварочным током 250-400 А с бензиновым двигателем</v>
      </c>
      <c r="H17" t="str">
        <f>SmtRes!O15</f>
        <v>маш.-ч</v>
      </c>
      <c r="I17">
        <f>SmtRes!Y15*Source!I33</f>
        <v>29.723364999999998</v>
      </c>
      <c r="J17">
        <f>SmtRes!AO15</f>
        <v>1</v>
      </c>
      <c r="K17">
        <f>SmtRes!AF15</f>
        <v>20.350000000000001</v>
      </c>
      <c r="L17">
        <f>SmtRes!DB15</f>
        <v>98.43</v>
      </c>
      <c r="M17">
        <f>ROUND(ROUND(L17*Source!I33, 2)*1, 2)</f>
        <v>604.85</v>
      </c>
      <c r="N17">
        <f>SmtRes!AB15</f>
        <v>179.49</v>
      </c>
      <c r="O17">
        <f>ROUND(ROUND(L17*Source!I33, 2)*SmtRes!DA15, 2)</f>
        <v>5334.78</v>
      </c>
      <c r="P17">
        <f>SmtRes!AG15</f>
        <v>0</v>
      </c>
      <c r="Q17">
        <f>SmtRes!DC15</f>
        <v>0</v>
      </c>
      <c r="R17">
        <f>ROUND(ROUND(Q17*Source!I33, 2)*1, 2)</f>
        <v>0</v>
      </c>
      <c r="S17">
        <f>SmtRes!AC15</f>
        <v>0</v>
      </c>
      <c r="T17">
        <f>ROUND(ROUND(Q17*Source!I33, 2)*SmtRes!AK15, 2)</f>
        <v>0</v>
      </c>
      <c r="U17">
        <v>2</v>
      </c>
      <c r="Z17">
        <f>SmtRes!X15</f>
        <v>746500588</v>
      </c>
      <c r="AA17">
        <v>423381339</v>
      </c>
      <c r="AB17">
        <v>244196429</v>
      </c>
    </row>
    <row r="18" spans="1:28" x14ac:dyDescent="0.2">
      <c r="A18">
        <v>20</v>
      </c>
      <c r="B18">
        <v>14</v>
      </c>
      <c r="C18">
        <v>2</v>
      </c>
      <c r="D18">
        <v>0</v>
      </c>
      <c r="E18">
        <f>SmtRes!AV14</f>
        <v>0</v>
      </c>
      <c r="F18" t="str">
        <f>SmtRes!I14</f>
        <v>021141</v>
      </c>
      <c r="G18" t="str">
        <f>SmtRes!K14</f>
        <v>Краны на автомобильном ходу при работе на других видах строительства 10 т</v>
      </c>
      <c r="H18" t="str">
        <f>SmtRes!O14</f>
        <v>маш.-ч</v>
      </c>
      <c r="I18">
        <f>SmtRes!Y14*Source!I33</f>
        <v>86.976329999999976</v>
      </c>
      <c r="J18">
        <f>SmtRes!AO14</f>
        <v>1</v>
      </c>
      <c r="K18">
        <f>SmtRes!AF14</f>
        <v>124.14</v>
      </c>
      <c r="L18">
        <f>SmtRes!DB14</f>
        <v>1757.08</v>
      </c>
      <c r="M18">
        <f>ROUND(ROUND(L18*Source!I33, 2)*1, 2)</f>
        <v>10797.26</v>
      </c>
      <c r="N18">
        <f>SmtRes!AB14</f>
        <v>1453.68</v>
      </c>
      <c r="O18">
        <f>ROUND(ROUND(L18*Source!I33, 2)*SmtRes!DA14, 2)</f>
        <v>126435.91</v>
      </c>
      <c r="P18">
        <f>SmtRes!AG14</f>
        <v>12.1</v>
      </c>
      <c r="Q18">
        <f>SmtRes!DC14</f>
        <v>171.26</v>
      </c>
      <c r="R18">
        <f>ROUND(ROUND(Q18*Source!I33, 2)*1, 2)</f>
        <v>1052.3900000000001</v>
      </c>
      <c r="S18">
        <f>SmtRes!AC14</f>
        <v>426.77</v>
      </c>
      <c r="T18">
        <f>ROUND(ROUND(Q18*Source!I33, 2)*SmtRes!AK14, 2)</f>
        <v>37117.800000000003</v>
      </c>
      <c r="U18">
        <v>2</v>
      </c>
      <c r="Z18">
        <f>SmtRes!X14</f>
        <v>1447433125</v>
      </c>
      <c r="AA18">
        <v>1854632627</v>
      </c>
      <c r="AB18">
        <v>887395808</v>
      </c>
    </row>
    <row r="19" spans="1:28" x14ac:dyDescent="0.2">
      <c r="A19">
        <v>20</v>
      </c>
      <c r="B19">
        <v>12</v>
      </c>
      <c r="C19">
        <v>1</v>
      </c>
      <c r="D19">
        <v>0</v>
      </c>
      <c r="E19">
        <f>SmtRes!AV12</f>
        <v>1</v>
      </c>
      <c r="F19" t="str">
        <f>SmtRes!I12</f>
        <v>1-1037-21</v>
      </c>
      <c r="G19" t="str">
        <f>SmtRes!K12</f>
        <v>Рабочий строитель среднего разряда 3,7</v>
      </c>
      <c r="H19" t="str">
        <f>SmtRes!O12</f>
        <v>чел.-ч</v>
      </c>
      <c r="I19">
        <f>SmtRes!Y12*Source!I33</f>
        <v>820.51112499999999</v>
      </c>
      <c r="J19">
        <f>SmtRes!AO12</f>
        <v>1</v>
      </c>
      <c r="K19">
        <f>SmtRes!AH12</f>
        <v>8.68</v>
      </c>
      <c r="L19">
        <f>SmtRes!DB12</f>
        <v>1159</v>
      </c>
      <c r="M19">
        <f>ROUND(ROUND(L19*Source!I33, 2)*1, 2)</f>
        <v>7122.06</v>
      </c>
      <c r="N19">
        <f>SmtRes!AD12</f>
        <v>8.68</v>
      </c>
      <c r="O19">
        <f>ROUND(ROUND(L19*Source!I33, 2)*SmtRes!DA12, 2)</f>
        <v>7122.06</v>
      </c>
      <c r="P19">
        <f>SmtRes!AG12</f>
        <v>0</v>
      </c>
      <c r="Q19">
        <f>SmtRes!DC12</f>
        <v>0</v>
      </c>
      <c r="R19">
        <f>ROUND(ROUND(Q19*Source!I33, 2)*1, 2)</f>
        <v>0</v>
      </c>
      <c r="S19">
        <f>SmtRes!AC12</f>
        <v>0</v>
      </c>
      <c r="T19">
        <f>ROUND(ROUND(Q19*Source!I33, 2)*SmtRes!AK12, 2)</f>
        <v>0</v>
      </c>
      <c r="U19">
        <v>1</v>
      </c>
      <c r="Z19">
        <f>SmtRes!X12</f>
        <v>-300987236</v>
      </c>
      <c r="AA19">
        <v>-978941552</v>
      </c>
      <c r="AB19">
        <v>-777700544</v>
      </c>
    </row>
    <row r="20" spans="1:28" x14ac:dyDescent="0.2">
      <c r="A20">
        <v>20</v>
      </c>
      <c r="B20">
        <v>33</v>
      </c>
      <c r="C20">
        <v>2</v>
      </c>
      <c r="D20">
        <v>0</v>
      </c>
      <c r="E20">
        <f>SmtRes!AV33</f>
        <v>0</v>
      </c>
      <c r="F20" t="str">
        <f>SmtRes!I33</f>
        <v>330804</v>
      </c>
      <c r="G20" t="str">
        <f>SmtRes!K33</f>
        <v>Молотки при работе от передвижных компрессорных станций отбойные пневматические</v>
      </c>
      <c r="H20" t="str">
        <f>SmtRes!O33</f>
        <v>маш.-ч</v>
      </c>
      <c r="I20">
        <f>SmtRes!Y33*Source!I35</f>
        <v>1.008</v>
      </c>
      <c r="J20">
        <f>SmtRes!AO33</f>
        <v>1</v>
      </c>
      <c r="K20">
        <f>SmtRes!AF33</f>
        <v>1.69</v>
      </c>
      <c r="L20">
        <f>SmtRes!DB33</f>
        <v>0.54</v>
      </c>
      <c r="M20">
        <f>ROUND(ROUND(L20*Source!I35, 2)*1, 2)</f>
        <v>1.7</v>
      </c>
      <c r="N20">
        <f>SmtRes!AB33</f>
        <v>8.8699999999999992</v>
      </c>
      <c r="O20">
        <f>ROUND(ROUND(L20*Source!I35, 2)*SmtRes!DA33, 2)</f>
        <v>8.93</v>
      </c>
      <c r="P20">
        <f>SmtRes!AG33</f>
        <v>0</v>
      </c>
      <c r="Q20">
        <f>SmtRes!DC33</f>
        <v>0</v>
      </c>
      <c r="R20">
        <f>ROUND(ROUND(Q20*Source!I35, 2)*1, 2)</f>
        <v>0</v>
      </c>
      <c r="S20">
        <f>SmtRes!AC33</f>
        <v>0</v>
      </c>
      <c r="T20">
        <f>ROUND(ROUND(Q20*Source!I35, 2)*SmtRes!AK33, 2)</f>
        <v>0</v>
      </c>
      <c r="U20">
        <v>2</v>
      </c>
      <c r="Z20">
        <f>SmtRes!X33</f>
        <v>1159152410</v>
      </c>
      <c r="AA20">
        <v>287194236</v>
      </c>
      <c r="AB20">
        <v>677645588</v>
      </c>
    </row>
    <row r="21" spans="1:28" x14ac:dyDescent="0.2">
      <c r="A21">
        <v>20</v>
      </c>
      <c r="B21">
        <v>32</v>
      </c>
      <c r="C21">
        <v>2</v>
      </c>
      <c r="D21">
        <v>0</v>
      </c>
      <c r="E21">
        <f>SmtRes!AV32</f>
        <v>0</v>
      </c>
      <c r="F21" t="str">
        <f>SmtRes!I32</f>
        <v>070148</v>
      </c>
      <c r="G21" t="str">
        <f>SmtRes!K32</f>
        <v>Бульдозеры при работе на других видах строительства 59 кВт (80 л.с.)</v>
      </c>
      <c r="H21" t="str">
        <f>SmtRes!O32</f>
        <v>маш.-ч</v>
      </c>
      <c r="I21">
        <f>SmtRes!Y32*Source!I35</f>
        <v>6.3E-2</v>
      </c>
      <c r="J21">
        <f>SmtRes!AO32</f>
        <v>1</v>
      </c>
      <c r="K21">
        <f>SmtRes!AF32</f>
        <v>102.49</v>
      </c>
      <c r="L21">
        <f>SmtRes!DB32</f>
        <v>2.0499999999999998</v>
      </c>
      <c r="M21">
        <f>ROUND(ROUND(L21*Source!I35, 2)*1, 2)</f>
        <v>6.46</v>
      </c>
      <c r="N21">
        <f>SmtRes!AB32</f>
        <v>1506.6</v>
      </c>
      <c r="O21">
        <f>ROUND(ROUND(L21*Source!I35, 2)*SmtRes!DA32, 2)</f>
        <v>94.96</v>
      </c>
      <c r="P21">
        <f>SmtRes!AG32</f>
        <v>10.35</v>
      </c>
      <c r="Q21">
        <f>SmtRes!DC32</f>
        <v>0.21</v>
      </c>
      <c r="R21">
        <f>ROUND(ROUND(Q21*Source!I35, 2)*1, 2)</f>
        <v>0.66</v>
      </c>
      <c r="S21">
        <f>SmtRes!AC32</f>
        <v>365.04</v>
      </c>
      <c r="T21">
        <f>ROUND(ROUND(Q21*Source!I35, 2)*SmtRes!AK32, 2)</f>
        <v>23.28</v>
      </c>
      <c r="U21">
        <v>2</v>
      </c>
      <c r="Z21">
        <f>SmtRes!X32</f>
        <v>-521383579</v>
      </c>
      <c r="AA21">
        <v>668723209</v>
      </c>
      <c r="AB21">
        <v>836497942</v>
      </c>
    </row>
    <row r="22" spans="1:28" x14ac:dyDescent="0.2">
      <c r="A22">
        <v>20</v>
      </c>
      <c r="B22">
        <v>31</v>
      </c>
      <c r="C22">
        <v>2</v>
      </c>
      <c r="D22">
        <v>0</v>
      </c>
      <c r="E22">
        <f>SmtRes!AV31</f>
        <v>0</v>
      </c>
      <c r="F22" t="str">
        <f>SmtRes!I31</f>
        <v>060247</v>
      </c>
      <c r="G22" t="str">
        <f>SmtRes!K31</f>
        <v>Экскаваторы одноковшовые дизельные на гусеничном ходу при работе на других видах строительства 0,5 м3</v>
      </c>
      <c r="H22" t="str">
        <f>SmtRes!O31</f>
        <v>маш.-ч</v>
      </c>
      <c r="I22">
        <f>SmtRes!Y31*Source!I35</f>
        <v>6.3E-2</v>
      </c>
      <c r="J22">
        <f>SmtRes!AO31</f>
        <v>1</v>
      </c>
      <c r="K22">
        <f>SmtRes!AF31</f>
        <v>136.79</v>
      </c>
      <c r="L22">
        <f>SmtRes!DB31</f>
        <v>2.74</v>
      </c>
      <c r="M22">
        <f>ROUND(ROUND(L22*Source!I35, 2)*1, 2)</f>
        <v>8.6300000000000008</v>
      </c>
      <c r="N22">
        <f>SmtRes!AB31</f>
        <v>1838.46</v>
      </c>
      <c r="O22">
        <f>ROUND(ROUND(L22*Source!I35, 2)*SmtRes!DA31, 2)</f>
        <v>115.99</v>
      </c>
      <c r="P22">
        <f>SmtRes!AG31</f>
        <v>12.1</v>
      </c>
      <c r="Q22">
        <f>SmtRes!DC31</f>
        <v>0.24</v>
      </c>
      <c r="R22">
        <f>ROUND(ROUND(Q22*Source!I35, 2)*1, 2)</f>
        <v>0.76</v>
      </c>
      <c r="S22">
        <f>SmtRes!AC31</f>
        <v>426.77</v>
      </c>
      <c r="T22">
        <f>ROUND(ROUND(Q22*Source!I35, 2)*SmtRes!AK31, 2)</f>
        <v>26.81</v>
      </c>
      <c r="U22">
        <v>2</v>
      </c>
      <c r="Z22">
        <f>SmtRes!X31</f>
        <v>-1017142831</v>
      </c>
      <c r="AA22">
        <v>-189921017</v>
      </c>
      <c r="AB22">
        <v>-603506768</v>
      </c>
    </row>
    <row r="23" spans="1:28" x14ac:dyDescent="0.2">
      <c r="A23">
        <v>20</v>
      </c>
      <c r="B23">
        <v>30</v>
      </c>
      <c r="C23">
        <v>2</v>
      </c>
      <c r="D23">
        <v>0</v>
      </c>
      <c r="E23">
        <f>SmtRes!AV30</f>
        <v>0</v>
      </c>
      <c r="F23" t="str">
        <f>SmtRes!I30</f>
        <v>050101</v>
      </c>
      <c r="G23" t="str">
        <f>SmtRes!K30</f>
        <v>Компрессоры передвижные с двигателем внутреннего сгорания давлением до 686 кПа (7 ат), производительность  до 5 м3/мин</v>
      </c>
      <c r="H23" t="str">
        <f>SmtRes!O30</f>
        <v>маш.-ч</v>
      </c>
      <c r="I23">
        <f>SmtRes!Y30*Source!I35</f>
        <v>0.252</v>
      </c>
      <c r="J23">
        <f>SmtRes!AO30</f>
        <v>1</v>
      </c>
      <c r="K23">
        <f>SmtRes!AF30</f>
        <v>59.38</v>
      </c>
      <c r="L23">
        <f>SmtRes!DB30</f>
        <v>4.75</v>
      </c>
      <c r="M23">
        <f>ROUND(ROUND(L23*Source!I35, 2)*1, 2)</f>
        <v>14.96</v>
      </c>
      <c r="N23">
        <f>SmtRes!AB30</f>
        <v>893.67</v>
      </c>
      <c r="O23">
        <f>ROUND(ROUND(L23*Source!I35, 2)*SmtRes!DA30, 2)</f>
        <v>225.15</v>
      </c>
      <c r="P23">
        <f>SmtRes!AG30</f>
        <v>9</v>
      </c>
      <c r="Q23">
        <f>SmtRes!DC30</f>
        <v>0.72</v>
      </c>
      <c r="R23">
        <f>ROUND(ROUND(Q23*Source!I35, 2)*1, 2)</f>
        <v>2.27</v>
      </c>
      <c r="S23">
        <f>SmtRes!AC30</f>
        <v>317.43</v>
      </c>
      <c r="T23">
        <f>ROUND(ROUND(Q23*Source!I35, 2)*SmtRes!AK30, 2)</f>
        <v>80.06</v>
      </c>
      <c r="U23">
        <v>2</v>
      </c>
      <c r="Z23">
        <f>SmtRes!X30</f>
        <v>2133576372</v>
      </c>
      <c r="AA23">
        <v>1233612580</v>
      </c>
      <c r="AB23">
        <v>-540860609</v>
      </c>
    </row>
    <row r="24" spans="1:28" x14ac:dyDescent="0.2">
      <c r="A24">
        <v>20</v>
      </c>
      <c r="B24">
        <v>29</v>
      </c>
      <c r="C24">
        <v>2</v>
      </c>
      <c r="D24">
        <v>0</v>
      </c>
      <c r="E24">
        <f>SmtRes!AV29</f>
        <v>0</v>
      </c>
      <c r="F24" t="str">
        <f>SmtRes!I29</f>
        <v>021141</v>
      </c>
      <c r="G24" t="str">
        <f>SmtRes!K29</f>
        <v>Краны на автомобильном ходу при работе на других видах строительства 10 т</v>
      </c>
      <c r="H24" t="str">
        <f>SmtRes!O29</f>
        <v>маш.-ч</v>
      </c>
      <c r="I24">
        <f>SmtRes!Y29*Source!I35</f>
        <v>6.3E-2</v>
      </c>
      <c r="J24">
        <f>SmtRes!AO29</f>
        <v>1</v>
      </c>
      <c r="K24">
        <f>SmtRes!AF29</f>
        <v>124.14</v>
      </c>
      <c r="L24">
        <f>SmtRes!DB29</f>
        <v>2.48</v>
      </c>
      <c r="M24">
        <f>ROUND(ROUND(L24*Source!I35, 2)*1, 2)</f>
        <v>7.81</v>
      </c>
      <c r="N24">
        <f>SmtRes!AB29</f>
        <v>1453.68</v>
      </c>
      <c r="O24">
        <f>ROUND(ROUND(L24*Source!I35, 2)*SmtRes!DA29, 2)</f>
        <v>91.46</v>
      </c>
      <c r="P24">
        <f>SmtRes!AG29</f>
        <v>12.1</v>
      </c>
      <c r="Q24">
        <f>SmtRes!DC29</f>
        <v>0.24</v>
      </c>
      <c r="R24">
        <f>ROUND(ROUND(Q24*Source!I35, 2)*1, 2)</f>
        <v>0.76</v>
      </c>
      <c r="S24">
        <f>SmtRes!AC29</f>
        <v>426.77</v>
      </c>
      <c r="T24">
        <f>ROUND(ROUND(Q24*Source!I35, 2)*SmtRes!AK29, 2)</f>
        <v>26.81</v>
      </c>
      <c r="U24">
        <v>2</v>
      </c>
      <c r="Z24">
        <f>SmtRes!X29</f>
        <v>1447433125</v>
      </c>
      <c r="AA24">
        <v>1854632627</v>
      </c>
      <c r="AB24">
        <v>887395808</v>
      </c>
    </row>
    <row r="25" spans="1:28" x14ac:dyDescent="0.2">
      <c r="A25">
        <v>20</v>
      </c>
      <c r="B25">
        <v>27</v>
      </c>
      <c r="C25">
        <v>1</v>
      </c>
      <c r="D25">
        <v>0</v>
      </c>
      <c r="E25">
        <f>SmtRes!AV27</f>
        <v>1</v>
      </c>
      <c r="F25" t="str">
        <f>SmtRes!I27</f>
        <v>1-1022-21</v>
      </c>
      <c r="G25" t="str">
        <f>SmtRes!K27</f>
        <v>Рабочий строитель среднего разряда 2,2</v>
      </c>
      <c r="H25" t="str">
        <f>SmtRes!O27</f>
        <v>чел.-ч</v>
      </c>
      <c r="I25">
        <f>SmtRes!Y27*Source!I35</f>
        <v>36.634500000000003</v>
      </c>
      <c r="J25">
        <f>SmtRes!AO27</f>
        <v>1</v>
      </c>
      <c r="K25">
        <f>SmtRes!AH27</f>
        <v>7.43</v>
      </c>
      <c r="L25">
        <f>SmtRes!DB27</f>
        <v>86.41</v>
      </c>
      <c r="M25">
        <f>ROUND(ROUND(L25*Source!I35, 2)*1, 2)</f>
        <v>272.19</v>
      </c>
      <c r="N25">
        <f>SmtRes!AD27</f>
        <v>7.43</v>
      </c>
      <c r="O25">
        <f>ROUND(ROUND(L25*Source!I35, 2)*SmtRes!DA27, 2)</f>
        <v>272.19</v>
      </c>
      <c r="P25">
        <f>SmtRes!AG27</f>
        <v>0</v>
      </c>
      <c r="Q25">
        <f>SmtRes!DC27</f>
        <v>0</v>
      </c>
      <c r="R25">
        <f>ROUND(ROUND(Q25*Source!I35, 2)*1, 2)</f>
        <v>0</v>
      </c>
      <c r="S25">
        <f>SmtRes!AC27</f>
        <v>0</v>
      </c>
      <c r="T25">
        <f>ROUND(ROUND(Q25*Source!I35, 2)*SmtRes!AK27, 2)</f>
        <v>0</v>
      </c>
      <c r="U25">
        <v>1</v>
      </c>
      <c r="Z25">
        <f>SmtRes!X27</f>
        <v>1935273774</v>
      </c>
      <c r="AA25">
        <v>-957195381</v>
      </c>
      <c r="AB25">
        <v>-138908479</v>
      </c>
    </row>
    <row r="26" spans="1:28" x14ac:dyDescent="0.2">
      <c r="A26">
        <f>Source!A76</f>
        <v>4</v>
      </c>
      <c r="B26">
        <v>76</v>
      </c>
      <c r="G26" t="str">
        <f>Source!G76</f>
        <v>Ограждение территории</v>
      </c>
    </row>
    <row r="27" spans="1:28" x14ac:dyDescent="0.2">
      <c r="A27">
        <v>20</v>
      </c>
      <c r="B27">
        <v>80</v>
      </c>
      <c r="C27">
        <v>3</v>
      </c>
      <c r="D27">
        <v>0</v>
      </c>
      <c r="E27">
        <f>SmtRes!AV80</f>
        <v>0</v>
      </c>
      <c r="F27" t="str">
        <f>SmtRes!I80</f>
        <v>404-0005</v>
      </c>
      <c r="G27" t="str">
        <f>SmtRes!K80</f>
        <v>Кирпич керамический одинарный, размером 250х120х65 мм, марка 100</v>
      </c>
      <c r="H27" t="str">
        <f>SmtRes!O80</f>
        <v>1000 шт.</v>
      </c>
      <c r="I27">
        <f>SmtRes!Y80*Source!I94</f>
        <v>9.9760000000000001E-2</v>
      </c>
      <c r="J27">
        <f>SmtRes!AO80</f>
        <v>1</v>
      </c>
      <c r="K27">
        <f>SmtRes!AE80</f>
        <v>794</v>
      </c>
      <c r="L27">
        <f>SmtRes!DB80</f>
        <v>12.7</v>
      </c>
      <c r="M27">
        <f>ROUND(ROUND(L27*Source!I94, 2)*1, 2)</f>
        <v>79.180000000000007</v>
      </c>
      <c r="N27">
        <f>SmtRes!AA80</f>
        <v>15570.34</v>
      </c>
      <c r="O27">
        <f>ROUND(ROUND(L27*Source!I94, 2)*SmtRes!DA80, 2)</f>
        <v>1552.72</v>
      </c>
      <c r="P27">
        <f>SmtRes!AG80</f>
        <v>0</v>
      </c>
      <c r="Q27">
        <f>SmtRes!DC80</f>
        <v>0</v>
      </c>
      <c r="R27">
        <f>ROUND(ROUND(Q27*Source!I94, 2)*1, 2)</f>
        <v>0</v>
      </c>
      <c r="S27">
        <f>SmtRes!AC80</f>
        <v>0</v>
      </c>
      <c r="T27">
        <f>ROUND(ROUND(Q27*Source!I94, 2)*SmtRes!AK80, 2)</f>
        <v>0</v>
      </c>
      <c r="U27">
        <v>3</v>
      </c>
      <c r="Z27">
        <f>SmtRes!X80</f>
        <v>-667780082</v>
      </c>
      <c r="AA27">
        <v>267061418</v>
      </c>
      <c r="AB27">
        <v>-30291654</v>
      </c>
    </row>
    <row r="28" spans="1:28" x14ac:dyDescent="0.2">
      <c r="A28">
        <v>20</v>
      </c>
      <c r="B28">
        <v>78</v>
      </c>
      <c r="C28">
        <v>3</v>
      </c>
      <c r="D28">
        <v>0</v>
      </c>
      <c r="E28">
        <f>SmtRes!AV78</f>
        <v>0</v>
      </c>
      <c r="F28" t="str">
        <f>SmtRes!I78</f>
        <v>402-0002</v>
      </c>
      <c r="G28" t="str">
        <f>SmtRes!K78</f>
        <v>Раствор готовый кладочный цементный марки 50</v>
      </c>
      <c r="H28" t="str">
        <f>SmtRes!O78</f>
        <v>м3</v>
      </c>
      <c r="I28">
        <f>SmtRes!Y78*Source!I94</f>
        <v>4.3645000000000003E-2</v>
      </c>
      <c r="J28">
        <f>SmtRes!AO78</f>
        <v>1</v>
      </c>
      <c r="K28">
        <f>SmtRes!AE78</f>
        <v>389</v>
      </c>
      <c r="L28">
        <f>SmtRes!DB78</f>
        <v>2.72</v>
      </c>
      <c r="M28">
        <f>ROUND(ROUND(L28*Source!I94, 2)*1, 2)</f>
        <v>16.96</v>
      </c>
      <c r="N28">
        <f>SmtRes!AA78</f>
        <v>4512.3999999999996</v>
      </c>
      <c r="O28">
        <f>ROUND(ROUND(L28*Source!I94, 2)*SmtRes!DA78, 2)</f>
        <v>196.74</v>
      </c>
      <c r="P28">
        <f>SmtRes!AG78</f>
        <v>0</v>
      </c>
      <c r="Q28">
        <f>SmtRes!DC78</f>
        <v>0</v>
      </c>
      <c r="R28">
        <f>ROUND(ROUND(Q28*Source!I94, 2)*1, 2)</f>
        <v>0</v>
      </c>
      <c r="S28">
        <f>SmtRes!AC78</f>
        <v>0</v>
      </c>
      <c r="T28">
        <f>ROUND(ROUND(Q28*Source!I94, 2)*SmtRes!AK78, 2)</f>
        <v>0</v>
      </c>
      <c r="U28">
        <v>3</v>
      </c>
      <c r="Z28">
        <f>SmtRes!X78</f>
        <v>1011246000</v>
      </c>
      <c r="AA28">
        <v>1256247607</v>
      </c>
      <c r="AB28">
        <v>-368703330</v>
      </c>
    </row>
    <row r="29" spans="1:28" x14ac:dyDescent="0.2">
      <c r="A29">
        <v>20</v>
      </c>
      <c r="B29">
        <v>77</v>
      </c>
      <c r="C29">
        <v>3</v>
      </c>
      <c r="D29">
        <v>0</v>
      </c>
      <c r="E29">
        <f>SmtRes!AV77</f>
        <v>0</v>
      </c>
      <c r="F29" t="str">
        <f>SmtRes!I77</f>
        <v>401-0083</v>
      </c>
      <c r="G29" t="str">
        <f>SmtRes!K77</f>
        <v>Бетон тяжелый, крупность заполнителя 10 мм, класс В7,5 (М100)</v>
      </c>
      <c r="H29" t="str">
        <f>SmtRes!O77</f>
        <v>м3</v>
      </c>
      <c r="I29">
        <f>SmtRes!Y77*Source!I94</f>
        <v>7.6690500000000004</v>
      </c>
      <c r="J29">
        <f>SmtRes!AO77</f>
        <v>1</v>
      </c>
      <c r="K29">
        <f>SmtRes!AE77</f>
        <v>565</v>
      </c>
      <c r="L29">
        <f>SmtRes!DB77</f>
        <v>694.95</v>
      </c>
      <c r="M29">
        <f>ROUND(ROUND(L29*Source!I94, 2)*1, 2)</f>
        <v>4333.01</v>
      </c>
      <c r="N29">
        <f>SmtRes!AA77</f>
        <v>6373.2</v>
      </c>
      <c r="O29">
        <f>ROUND(ROUND(L29*Source!I94, 2)*SmtRes!DA77, 2)</f>
        <v>48876.35</v>
      </c>
      <c r="P29">
        <f>SmtRes!AG77</f>
        <v>0</v>
      </c>
      <c r="Q29">
        <f>SmtRes!DC77</f>
        <v>0</v>
      </c>
      <c r="R29">
        <f>ROUND(ROUND(Q29*Source!I94, 2)*1, 2)</f>
        <v>0</v>
      </c>
      <c r="S29">
        <f>SmtRes!AC77</f>
        <v>0</v>
      </c>
      <c r="T29">
        <f>ROUND(ROUND(Q29*Source!I94, 2)*SmtRes!AK77, 2)</f>
        <v>0</v>
      </c>
      <c r="U29">
        <v>3</v>
      </c>
      <c r="Z29">
        <f>SmtRes!X77</f>
        <v>-238842698</v>
      </c>
      <c r="AA29">
        <v>-1266661087</v>
      </c>
      <c r="AB29">
        <v>228560151</v>
      </c>
    </row>
    <row r="30" spans="1:28" x14ac:dyDescent="0.2">
      <c r="A30">
        <v>20</v>
      </c>
      <c r="B30">
        <v>76</v>
      </c>
      <c r="C30">
        <v>3</v>
      </c>
      <c r="D30">
        <v>0</v>
      </c>
      <c r="E30">
        <f>SmtRes!AV76</f>
        <v>0</v>
      </c>
      <c r="F30" t="str">
        <f>SmtRes!I76</f>
        <v>204-0005</v>
      </c>
      <c r="G30" t="str">
        <f>SmtRes!K76</f>
        <v>Горячекатаная арматурная сталь гладкая класса А-I, диаметром 14 мм</v>
      </c>
      <c r="H30" t="str">
        <f>SmtRes!O76</f>
        <v>т</v>
      </c>
      <c r="I30">
        <f>SmtRes!Y76*Source!I94</f>
        <v>0.94772000000000001</v>
      </c>
      <c r="J30">
        <f>SmtRes!AO76</f>
        <v>1</v>
      </c>
      <c r="K30">
        <f>SmtRes!AE76</f>
        <v>6260.66</v>
      </c>
      <c r="L30">
        <f>SmtRes!DB76</f>
        <v>951.62</v>
      </c>
      <c r="M30">
        <f>ROUND(ROUND(L30*Source!I94, 2)*1, 2)</f>
        <v>5933.35</v>
      </c>
      <c r="N30">
        <f>SmtRes!AA76</f>
        <v>70307.210000000006</v>
      </c>
      <c r="O30">
        <f>ROUND(ROUND(L30*Source!I94, 2)*SmtRes!DA76, 2)</f>
        <v>66631.520000000004</v>
      </c>
      <c r="P30">
        <f>SmtRes!AG76</f>
        <v>0</v>
      </c>
      <c r="Q30">
        <f>SmtRes!DC76</f>
        <v>0</v>
      </c>
      <c r="R30">
        <f>ROUND(ROUND(Q30*Source!I94, 2)*1, 2)</f>
        <v>0</v>
      </c>
      <c r="S30">
        <f>SmtRes!AC76</f>
        <v>0</v>
      </c>
      <c r="T30">
        <f>ROUND(ROUND(Q30*Source!I94, 2)*SmtRes!AK76, 2)</f>
        <v>0</v>
      </c>
      <c r="U30">
        <v>3</v>
      </c>
      <c r="Z30">
        <f>SmtRes!X76</f>
        <v>-540646545</v>
      </c>
      <c r="AA30">
        <v>-373899704</v>
      </c>
      <c r="AB30">
        <v>-255407920</v>
      </c>
    </row>
    <row r="31" spans="1:28" x14ac:dyDescent="0.2">
      <c r="A31">
        <v>20</v>
      </c>
      <c r="B31">
        <v>75</v>
      </c>
      <c r="C31">
        <v>3</v>
      </c>
      <c r="D31">
        <v>0</v>
      </c>
      <c r="E31">
        <f>SmtRes!AV75</f>
        <v>0</v>
      </c>
      <c r="F31" t="str">
        <f>SmtRes!I75</f>
        <v>201-0777</v>
      </c>
      <c r="G31" t="str">
        <f>SmtRes!K75</f>
        <v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v>
      </c>
      <c r="H31" t="str">
        <f>SmtRes!O75</f>
        <v>т</v>
      </c>
      <c r="I31">
        <f>SmtRes!Y75*Source!I94</f>
        <v>1.247E-2</v>
      </c>
      <c r="J31">
        <f>SmtRes!AO75</f>
        <v>1</v>
      </c>
      <c r="K31">
        <f>SmtRes!AE75</f>
        <v>10045</v>
      </c>
      <c r="L31">
        <f>SmtRes!DB75</f>
        <v>20.09</v>
      </c>
      <c r="M31">
        <f>ROUND(ROUND(L31*Source!I94, 2)*1, 2)</f>
        <v>125.26</v>
      </c>
      <c r="N31">
        <f>SmtRes!AA75</f>
        <v>119234.15</v>
      </c>
      <c r="O31">
        <f>ROUND(ROUND(L31*Source!I94, 2)*SmtRes!DA75, 2)</f>
        <v>1486.84</v>
      </c>
      <c r="P31">
        <f>SmtRes!AG75</f>
        <v>0</v>
      </c>
      <c r="Q31">
        <f>SmtRes!DC75</f>
        <v>0</v>
      </c>
      <c r="R31">
        <f>ROUND(ROUND(Q31*Source!I94, 2)*1, 2)</f>
        <v>0</v>
      </c>
      <c r="S31">
        <f>SmtRes!AC75</f>
        <v>0</v>
      </c>
      <c r="T31">
        <f>ROUND(ROUND(Q31*Source!I94, 2)*SmtRes!AK75, 2)</f>
        <v>0</v>
      </c>
      <c r="U31">
        <v>3</v>
      </c>
      <c r="Z31">
        <f>SmtRes!X75</f>
        <v>573814964</v>
      </c>
      <c r="AA31">
        <v>-1824443704</v>
      </c>
      <c r="AB31">
        <v>-619475752</v>
      </c>
    </row>
    <row r="32" spans="1:28" x14ac:dyDescent="0.2">
      <c r="A32">
        <v>20</v>
      </c>
      <c r="B32">
        <v>74</v>
      </c>
      <c r="C32">
        <v>3</v>
      </c>
      <c r="D32">
        <v>0</v>
      </c>
      <c r="E32">
        <f>SmtRes!AV74</f>
        <v>0</v>
      </c>
      <c r="F32" t="str">
        <f>SmtRes!I74</f>
        <v>101-1529</v>
      </c>
      <c r="G32" t="str">
        <f>SmtRes!K74</f>
        <v>Электроды диаметром 6 мм Э42</v>
      </c>
      <c r="H32" t="str">
        <f>SmtRes!O74</f>
        <v>т</v>
      </c>
      <c r="I32">
        <f>SmtRes!Y74*Source!I94</f>
        <v>3.7410000000000006E-2</v>
      </c>
      <c r="J32">
        <f>SmtRes!AO74</f>
        <v>1</v>
      </c>
      <c r="K32">
        <f>SmtRes!AE74</f>
        <v>9424</v>
      </c>
      <c r="L32">
        <f>SmtRes!DB74</f>
        <v>56.54</v>
      </c>
      <c r="M32">
        <f>ROUND(ROUND(L32*Source!I94, 2)*1, 2)</f>
        <v>352.53</v>
      </c>
      <c r="N32">
        <f>SmtRes!AA74</f>
        <v>148428</v>
      </c>
      <c r="O32">
        <f>ROUND(ROUND(L32*Source!I94, 2)*SmtRes!DA74, 2)</f>
        <v>5552.35</v>
      </c>
      <c r="P32">
        <f>SmtRes!AG74</f>
        <v>0</v>
      </c>
      <c r="Q32">
        <f>SmtRes!DC74</f>
        <v>0</v>
      </c>
      <c r="R32">
        <f>ROUND(ROUND(Q32*Source!I94, 2)*1, 2)</f>
        <v>0</v>
      </c>
      <c r="S32">
        <f>SmtRes!AC74</f>
        <v>0</v>
      </c>
      <c r="T32">
        <f>ROUND(ROUND(Q32*Source!I94, 2)*SmtRes!AK74, 2)</f>
        <v>0</v>
      </c>
      <c r="U32">
        <v>3</v>
      </c>
      <c r="Z32">
        <f>SmtRes!X74</f>
        <v>950208609</v>
      </c>
      <c r="AA32">
        <v>534526499</v>
      </c>
      <c r="AB32">
        <v>-131512131</v>
      </c>
    </row>
    <row r="33" spans="1:28" x14ac:dyDescent="0.2">
      <c r="A33">
        <v>20</v>
      </c>
      <c r="B33">
        <v>73</v>
      </c>
      <c r="C33">
        <v>3</v>
      </c>
      <c r="D33">
        <v>0</v>
      </c>
      <c r="E33">
        <f>SmtRes!AV73</f>
        <v>0</v>
      </c>
      <c r="F33" t="str">
        <f>SmtRes!I73</f>
        <v>101-0873</v>
      </c>
      <c r="G33" t="str">
        <f>SmtRes!K73</f>
        <v>Сетка плетеная с квадратными ячейками № 12 оцинкованная</v>
      </c>
      <c r="H33" t="str">
        <f>SmtRes!O73</f>
        <v>м2</v>
      </c>
      <c r="I33">
        <f>SmtRes!Y73*Source!I94</f>
        <v>935.25</v>
      </c>
      <c r="J33">
        <f>SmtRes!AO73</f>
        <v>1</v>
      </c>
      <c r="K33">
        <f>SmtRes!AE73</f>
        <v>18.87</v>
      </c>
      <c r="L33">
        <f>SmtRes!DB73</f>
        <v>2830.5</v>
      </c>
      <c r="M33">
        <f>ROUND(ROUND(L33*Source!I94, 2)*1, 2)</f>
        <v>17648.169999999998</v>
      </c>
      <c r="N33">
        <f>SmtRes!AA73</f>
        <v>189.27</v>
      </c>
      <c r="O33">
        <f>ROUND(ROUND(L33*Source!I94, 2)*SmtRes!DA73, 2)</f>
        <v>177011.15</v>
      </c>
      <c r="P33">
        <f>SmtRes!AG73</f>
        <v>0</v>
      </c>
      <c r="Q33">
        <f>SmtRes!DC73</f>
        <v>0</v>
      </c>
      <c r="R33">
        <f>ROUND(ROUND(Q33*Source!I94, 2)*1, 2)</f>
        <v>0</v>
      </c>
      <c r="S33">
        <f>SmtRes!AC73</f>
        <v>0</v>
      </c>
      <c r="T33">
        <f>ROUND(ROUND(Q33*Source!I94, 2)*SmtRes!AK73, 2)</f>
        <v>0</v>
      </c>
      <c r="U33">
        <v>3</v>
      </c>
      <c r="Z33">
        <f>SmtRes!X73</f>
        <v>103972200</v>
      </c>
      <c r="AA33">
        <v>-356459959</v>
      </c>
      <c r="AB33">
        <v>412474880</v>
      </c>
    </row>
    <row r="34" spans="1:28" x14ac:dyDescent="0.2">
      <c r="A34">
        <v>20</v>
      </c>
      <c r="B34">
        <v>72</v>
      </c>
      <c r="C34">
        <v>3</v>
      </c>
      <c r="D34">
        <v>0</v>
      </c>
      <c r="E34">
        <f>SmtRes!AV72</f>
        <v>0</v>
      </c>
      <c r="F34" t="str">
        <f>SmtRes!I72</f>
        <v>101-0816</v>
      </c>
      <c r="G34" t="str">
        <f>SmtRes!K72</f>
        <v>Проволока светлая диаметром 1,1 мм</v>
      </c>
      <c r="H34" t="str">
        <f>SmtRes!O72</f>
        <v>т</v>
      </c>
      <c r="I34">
        <f>SmtRes!Y72*Source!I94</f>
        <v>6.2350000000000001E-3</v>
      </c>
      <c r="J34">
        <f>SmtRes!AO72</f>
        <v>1</v>
      </c>
      <c r="K34">
        <f>SmtRes!AE72</f>
        <v>10200</v>
      </c>
      <c r="L34">
        <f>SmtRes!DB72</f>
        <v>10.199999999999999</v>
      </c>
      <c r="M34">
        <f>ROUND(ROUND(L34*Source!I94, 2)*1, 2)</f>
        <v>63.6</v>
      </c>
      <c r="N34">
        <f>SmtRes!AA72</f>
        <v>76806</v>
      </c>
      <c r="O34">
        <f>ROUND(ROUND(L34*Source!I94, 2)*SmtRes!DA72, 2)</f>
        <v>478.91</v>
      </c>
      <c r="P34">
        <f>SmtRes!AG72</f>
        <v>0</v>
      </c>
      <c r="Q34">
        <f>SmtRes!DC72</f>
        <v>0</v>
      </c>
      <c r="R34">
        <f>ROUND(ROUND(Q34*Source!I94, 2)*1, 2)</f>
        <v>0</v>
      </c>
      <c r="S34">
        <f>SmtRes!AC72</f>
        <v>0</v>
      </c>
      <c r="T34">
        <f>ROUND(ROUND(Q34*Source!I94, 2)*SmtRes!AK72, 2)</f>
        <v>0</v>
      </c>
      <c r="U34">
        <v>3</v>
      </c>
      <c r="Z34">
        <f>SmtRes!X72</f>
        <v>-936228581</v>
      </c>
      <c r="AA34">
        <v>1360678097</v>
      </c>
      <c r="AB34">
        <v>-1962895299</v>
      </c>
    </row>
    <row r="35" spans="1:28" x14ac:dyDescent="0.2">
      <c r="A35">
        <v>20</v>
      </c>
      <c r="B35">
        <v>71</v>
      </c>
      <c r="C35">
        <v>2</v>
      </c>
      <c r="D35">
        <v>0</v>
      </c>
      <c r="E35">
        <f>SmtRes!AV71</f>
        <v>0</v>
      </c>
      <c r="F35" t="str">
        <f>SmtRes!I71</f>
        <v>400001</v>
      </c>
      <c r="G35" t="str">
        <f>SmtRes!K71</f>
        <v>Автомобили бортовые, грузоподъемность до 5 т</v>
      </c>
      <c r="H35" t="str">
        <f>SmtRes!O71</f>
        <v>маш.-ч</v>
      </c>
      <c r="I35">
        <f>SmtRes!Y71*Source!I94</f>
        <v>3.8657000000000004</v>
      </c>
      <c r="J35">
        <f>SmtRes!AO71</f>
        <v>1</v>
      </c>
      <c r="K35">
        <f>SmtRes!AF71</f>
        <v>91.76</v>
      </c>
      <c r="L35">
        <f>SmtRes!DB71</f>
        <v>56.89</v>
      </c>
      <c r="M35">
        <f>ROUND(ROUND(L35*Source!I94, 2)*1, 2)</f>
        <v>354.71</v>
      </c>
      <c r="N35">
        <f>SmtRes!AB71</f>
        <v>1305.74</v>
      </c>
      <c r="O35">
        <f>ROUND(ROUND(L35*Source!I94, 2)*SmtRes!DA71, 2)</f>
        <v>5047.5200000000004</v>
      </c>
      <c r="P35">
        <f>SmtRes!AG71</f>
        <v>10.35</v>
      </c>
      <c r="Q35">
        <f>SmtRes!DC71</f>
        <v>6.42</v>
      </c>
      <c r="R35">
        <f>ROUND(ROUND(Q35*Source!I94, 2)*1, 2)</f>
        <v>40.03</v>
      </c>
      <c r="S35">
        <f>SmtRes!AC71</f>
        <v>365.04</v>
      </c>
      <c r="T35">
        <f>ROUND(ROUND(Q35*Source!I94, 2)*SmtRes!AK71, 2)</f>
        <v>1411.86</v>
      </c>
      <c r="U35">
        <v>2</v>
      </c>
      <c r="Z35">
        <f>SmtRes!X71</f>
        <v>-671646184</v>
      </c>
      <c r="AA35">
        <v>807713937</v>
      </c>
      <c r="AB35">
        <v>1619992053</v>
      </c>
    </row>
    <row r="36" spans="1:28" x14ac:dyDescent="0.2">
      <c r="A36">
        <v>20</v>
      </c>
      <c r="B36">
        <v>70</v>
      </c>
      <c r="C36">
        <v>2</v>
      </c>
      <c r="D36">
        <v>0</v>
      </c>
      <c r="E36">
        <f>SmtRes!AV70</f>
        <v>0</v>
      </c>
      <c r="F36" t="str">
        <f>SmtRes!I70</f>
        <v>091500</v>
      </c>
      <c r="G36" t="str">
        <f>SmtRes!K70</f>
        <v>Ямокопатели</v>
      </c>
      <c r="H36" t="str">
        <f>SmtRes!O70</f>
        <v>маш.-ч</v>
      </c>
      <c r="I36">
        <f>SmtRes!Y70*Source!I94</f>
        <v>2.4940000000000002</v>
      </c>
      <c r="J36">
        <f>SmtRes!AO70</f>
        <v>1</v>
      </c>
      <c r="K36">
        <f>SmtRes!AF70</f>
        <v>8.0299999999999994</v>
      </c>
      <c r="L36">
        <f>SmtRes!DB70</f>
        <v>3.21</v>
      </c>
      <c r="M36">
        <f>ROUND(ROUND(L36*Source!I94, 2)*1, 2)</f>
        <v>20.010000000000002</v>
      </c>
      <c r="N36">
        <f>SmtRes!AB70</f>
        <v>42.24</v>
      </c>
      <c r="O36">
        <f>ROUND(ROUND(L36*Source!I94, 2)*SmtRes!DA70, 2)</f>
        <v>105.25</v>
      </c>
      <c r="P36">
        <f>SmtRes!AG70</f>
        <v>0</v>
      </c>
      <c r="Q36">
        <f>SmtRes!DC70</f>
        <v>0</v>
      </c>
      <c r="R36">
        <f>ROUND(ROUND(Q36*Source!I94, 2)*1, 2)</f>
        <v>0</v>
      </c>
      <c r="S36">
        <f>SmtRes!AC70</f>
        <v>0</v>
      </c>
      <c r="T36">
        <f>ROUND(ROUND(Q36*Source!I94, 2)*SmtRes!AK70, 2)</f>
        <v>0</v>
      </c>
      <c r="U36">
        <v>2</v>
      </c>
      <c r="Z36">
        <f>SmtRes!X70</f>
        <v>-1548607267</v>
      </c>
      <c r="AA36">
        <v>140545076</v>
      </c>
      <c r="AB36">
        <v>895163219</v>
      </c>
    </row>
    <row r="37" spans="1:28" x14ac:dyDescent="0.2">
      <c r="A37">
        <v>20</v>
      </c>
      <c r="B37">
        <v>69</v>
      </c>
      <c r="C37">
        <v>2</v>
      </c>
      <c r="D37">
        <v>0</v>
      </c>
      <c r="E37">
        <f>SmtRes!AV69</f>
        <v>0</v>
      </c>
      <c r="F37" t="str">
        <f>SmtRes!I69</f>
        <v>040201</v>
      </c>
      <c r="G37" t="str">
        <f>SmtRes!K69</f>
        <v>Агрегаты сварочные передвижные с номинальным сварочным током 250-400 А с бензиновым двигателем</v>
      </c>
      <c r="H37" t="str">
        <f>SmtRes!O69</f>
        <v>маш.-ч</v>
      </c>
      <c r="I37">
        <f>SmtRes!Y69*Source!I94</f>
        <v>43.083850000000005</v>
      </c>
      <c r="J37">
        <f>SmtRes!AO69</f>
        <v>1</v>
      </c>
      <c r="K37">
        <f>SmtRes!AF69</f>
        <v>20.350000000000001</v>
      </c>
      <c r="L37">
        <f>SmtRes!DB69</f>
        <v>140.62</v>
      </c>
      <c r="M37">
        <f>ROUND(ROUND(L37*Source!I94, 2)*1, 2)</f>
        <v>876.77</v>
      </c>
      <c r="N37">
        <f>SmtRes!AB69</f>
        <v>179.49</v>
      </c>
      <c r="O37">
        <f>ROUND(ROUND(L37*Source!I94, 2)*SmtRes!DA69, 2)</f>
        <v>7733.11</v>
      </c>
      <c r="P37">
        <f>SmtRes!AG69</f>
        <v>0</v>
      </c>
      <c r="Q37">
        <f>SmtRes!DC69</f>
        <v>0</v>
      </c>
      <c r="R37">
        <f>ROUND(ROUND(Q37*Source!I94, 2)*1, 2)</f>
        <v>0</v>
      </c>
      <c r="S37">
        <f>SmtRes!AC69</f>
        <v>0</v>
      </c>
      <c r="T37">
        <f>ROUND(ROUND(Q37*Source!I94, 2)*SmtRes!AK69, 2)</f>
        <v>0</v>
      </c>
      <c r="U37">
        <v>2</v>
      </c>
      <c r="Z37">
        <f>SmtRes!X69</f>
        <v>746500588</v>
      </c>
      <c r="AA37">
        <v>423381339</v>
      </c>
      <c r="AB37">
        <v>244196429</v>
      </c>
    </row>
    <row r="38" spans="1:28" x14ac:dyDescent="0.2">
      <c r="A38">
        <v>20</v>
      </c>
      <c r="B38">
        <v>68</v>
      </c>
      <c r="C38">
        <v>2</v>
      </c>
      <c r="D38">
        <v>0</v>
      </c>
      <c r="E38">
        <f>SmtRes!AV68</f>
        <v>0</v>
      </c>
      <c r="F38" t="str">
        <f>SmtRes!I68</f>
        <v>021141</v>
      </c>
      <c r="G38" t="str">
        <f>SmtRes!K68</f>
        <v>Краны на автомобильном ходу при работе на других видах строительства 10 т</v>
      </c>
      <c r="H38" t="str">
        <f>SmtRes!O68</f>
        <v>маш.-ч</v>
      </c>
      <c r="I38">
        <f>SmtRes!Y68*Source!I94</f>
        <v>126.94460000000001</v>
      </c>
      <c r="J38">
        <f>SmtRes!AO68</f>
        <v>1</v>
      </c>
      <c r="K38">
        <f>SmtRes!AF68</f>
        <v>124.14</v>
      </c>
      <c r="L38">
        <f>SmtRes!DB68</f>
        <v>2527.4899999999998</v>
      </c>
      <c r="M38">
        <f>ROUND(ROUND(L38*Source!I94, 2)*1, 2)</f>
        <v>15758.9</v>
      </c>
      <c r="N38">
        <f>SmtRes!AB68</f>
        <v>1453.68</v>
      </c>
      <c r="O38">
        <f>ROUND(ROUND(L38*Source!I94, 2)*SmtRes!DA68, 2)</f>
        <v>184536.72</v>
      </c>
      <c r="P38">
        <f>SmtRes!AG68</f>
        <v>12.1</v>
      </c>
      <c r="Q38">
        <f>SmtRes!DC68</f>
        <v>246.36</v>
      </c>
      <c r="R38">
        <f>ROUND(ROUND(Q38*Source!I94, 2)*1, 2)</f>
        <v>1536.05</v>
      </c>
      <c r="S38">
        <f>SmtRes!AC68</f>
        <v>426.77</v>
      </c>
      <c r="T38">
        <f>ROUND(ROUND(Q38*Source!I94, 2)*SmtRes!AK68, 2)</f>
        <v>54176.480000000003</v>
      </c>
      <c r="U38">
        <v>2</v>
      </c>
      <c r="Z38">
        <f>SmtRes!X68</f>
        <v>1447433125</v>
      </c>
      <c r="AA38">
        <v>1854632627</v>
      </c>
      <c r="AB38">
        <v>887395808</v>
      </c>
    </row>
    <row r="39" spans="1:28" x14ac:dyDescent="0.2">
      <c r="A39">
        <v>20</v>
      </c>
      <c r="B39">
        <v>66</v>
      </c>
      <c r="C39">
        <v>1</v>
      </c>
      <c r="D39">
        <v>0</v>
      </c>
      <c r="E39">
        <f>SmtRes!AV66</f>
        <v>1</v>
      </c>
      <c r="F39" t="str">
        <f>SmtRes!I66</f>
        <v>1-1037-21</v>
      </c>
      <c r="G39" t="str">
        <f>SmtRes!K66</f>
        <v>Рабочий строитель среднего разряда 3,7</v>
      </c>
      <c r="H39" t="str">
        <f>SmtRes!O66</f>
        <v>чел.-ч</v>
      </c>
      <c r="I39">
        <f>SmtRes!Y66*Source!I94</f>
        <v>1366.0261500000001</v>
      </c>
      <c r="J39">
        <f>SmtRes!AO66</f>
        <v>1</v>
      </c>
      <c r="K39">
        <f>SmtRes!AH66</f>
        <v>8.68</v>
      </c>
      <c r="L39">
        <f>SmtRes!DB66</f>
        <v>1901.7</v>
      </c>
      <c r="M39">
        <f>ROUND(ROUND(L39*Source!I94, 2)*1, 2)</f>
        <v>11857.1</v>
      </c>
      <c r="N39">
        <f>SmtRes!AD66</f>
        <v>8.68</v>
      </c>
      <c r="O39">
        <f>ROUND(ROUND(L39*Source!I94, 2)*SmtRes!DA66, 2)</f>
        <v>11857.1</v>
      </c>
      <c r="P39">
        <f>SmtRes!AG66</f>
        <v>0</v>
      </c>
      <c r="Q39">
        <f>SmtRes!DC66</f>
        <v>0</v>
      </c>
      <c r="R39">
        <f>ROUND(ROUND(Q39*Source!I94, 2)*1, 2)</f>
        <v>0</v>
      </c>
      <c r="S39">
        <f>SmtRes!AC66</f>
        <v>0</v>
      </c>
      <c r="T39">
        <f>ROUND(ROUND(Q39*Source!I94, 2)*SmtRes!AK66, 2)</f>
        <v>0</v>
      </c>
      <c r="U39">
        <v>1</v>
      </c>
      <c r="Z39">
        <f>SmtRes!X66</f>
        <v>-300987236</v>
      </c>
      <c r="AA39">
        <v>-978941552</v>
      </c>
      <c r="AB39">
        <v>-777700544</v>
      </c>
    </row>
    <row r="40" spans="1:28" x14ac:dyDescent="0.2">
      <c r="A40">
        <f>Source!A98</f>
        <v>5</v>
      </c>
      <c r="B40">
        <v>98</v>
      </c>
      <c r="G40" t="str">
        <f>Source!G98</f>
        <v>Ворота</v>
      </c>
    </row>
    <row r="41" spans="1:28" x14ac:dyDescent="0.2">
      <c r="A41">
        <v>20</v>
      </c>
      <c r="B41">
        <v>86</v>
      </c>
      <c r="C41">
        <v>3</v>
      </c>
      <c r="D41">
        <v>0</v>
      </c>
      <c r="E41">
        <f>SmtRes!AV86</f>
        <v>0</v>
      </c>
      <c r="F41" t="str">
        <f>SmtRes!I86</f>
        <v>201-0832</v>
      </c>
      <c r="G41" t="str">
        <f>SmtRes!K86</f>
        <v>Бруски деревянные 50*50 мм</v>
      </c>
      <c r="H41" t="str">
        <f>SmtRes!O86</f>
        <v>м</v>
      </c>
      <c r="I41">
        <f>SmtRes!Y86*Source!I102</f>
        <v>1.1180000000000001</v>
      </c>
      <c r="J41">
        <f>SmtRes!AO86</f>
        <v>1</v>
      </c>
      <c r="K41">
        <f>SmtRes!AE86</f>
        <v>4.2300000000000004</v>
      </c>
      <c r="L41">
        <f>SmtRes!DB86</f>
        <v>236.46</v>
      </c>
      <c r="M41">
        <f>ROUND(ROUND(L41*Source!I102, 2)*1, 2)</f>
        <v>4.7300000000000004</v>
      </c>
      <c r="N41">
        <f>SmtRes!AA86</f>
        <v>43.74</v>
      </c>
      <c r="O41">
        <f>ROUND(ROUND(L41*Source!I102, 2)*SmtRes!DA86, 2)</f>
        <v>48.91</v>
      </c>
      <c r="P41">
        <f>SmtRes!AG86</f>
        <v>0</v>
      </c>
      <c r="Q41">
        <f>SmtRes!DC86</f>
        <v>0</v>
      </c>
      <c r="R41">
        <f>ROUND(ROUND(Q41*Source!I102, 2)*1, 2)</f>
        <v>0</v>
      </c>
      <c r="S41">
        <f>SmtRes!AC86</f>
        <v>0</v>
      </c>
      <c r="T41">
        <f>ROUND(ROUND(Q41*Source!I102, 2)*SmtRes!AK86, 2)</f>
        <v>0</v>
      </c>
      <c r="U41">
        <v>3</v>
      </c>
      <c r="Z41">
        <f>SmtRes!X86</f>
        <v>723599891</v>
      </c>
      <c r="AA41">
        <v>-532988002</v>
      </c>
      <c r="AB41">
        <v>-209125875</v>
      </c>
    </row>
    <row r="42" spans="1:28" x14ac:dyDescent="0.2">
      <c r="A42">
        <v>20</v>
      </c>
      <c r="B42">
        <v>85</v>
      </c>
      <c r="C42">
        <v>2</v>
      </c>
      <c r="D42">
        <v>0</v>
      </c>
      <c r="E42">
        <f>SmtRes!AV85</f>
        <v>0</v>
      </c>
      <c r="F42" t="str">
        <f>SmtRes!I85</f>
        <v>400001</v>
      </c>
      <c r="G42" t="str">
        <f>SmtRes!K85</f>
        <v>Автомобили бортовые, грузоподъемность до 5 т</v>
      </c>
      <c r="H42" t="str">
        <f>SmtRes!O85</f>
        <v>маш.-ч</v>
      </c>
      <c r="I42">
        <f>SmtRes!Y85*Source!I102</f>
        <v>1.6200000000000003E-2</v>
      </c>
      <c r="J42">
        <f>SmtRes!AO85</f>
        <v>1</v>
      </c>
      <c r="K42">
        <f>SmtRes!AF85</f>
        <v>91.76</v>
      </c>
      <c r="L42">
        <f>SmtRes!DB85</f>
        <v>74.33</v>
      </c>
      <c r="M42">
        <f>ROUND(ROUND(L42*Source!I102, 2)*1, 2)</f>
        <v>1.49</v>
      </c>
      <c r="N42">
        <f>SmtRes!AB85</f>
        <v>1305.74</v>
      </c>
      <c r="O42">
        <f>ROUND(ROUND(L42*Source!I102, 2)*SmtRes!DA85, 2)</f>
        <v>21.2</v>
      </c>
      <c r="P42">
        <f>SmtRes!AG85</f>
        <v>10.35</v>
      </c>
      <c r="Q42">
        <f>SmtRes!DC85</f>
        <v>8.3800000000000008</v>
      </c>
      <c r="R42">
        <f>ROUND(ROUND(Q42*Source!I102, 2)*1, 2)</f>
        <v>0.17</v>
      </c>
      <c r="S42">
        <f>SmtRes!AC85</f>
        <v>365.04</v>
      </c>
      <c r="T42">
        <f>ROUND(ROUND(Q42*Source!I102, 2)*SmtRes!AK85, 2)</f>
        <v>6</v>
      </c>
      <c r="U42">
        <v>2</v>
      </c>
      <c r="Z42">
        <f>SmtRes!X85</f>
        <v>-671646184</v>
      </c>
      <c r="AA42">
        <v>807713937</v>
      </c>
      <c r="AB42">
        <v>1619992053</v>
      </c>
    </row>
    <row r="43" spans="1:28" x14ac:dyDescent="0.2">
      <c r="A43">
        <v>20</v>
      </c>
      <c r="B43">
        <v>84</v>
      </c>
      <c r="C43">
        <v>2</v>
      </c>
      <c r="D43">
        <v>0</v>
      </c>
      <c r="E43">
        <f>SmtRes!AV84</f>
        <v>0</v>
      </c>
      <c r="F43" t="str">
        <f>SmtRes!I84</f>
        <v>160402</v>
      </c>
      <c r="G43" t="str">
        <f>SmtRes!K84</f>
        <v>Машины бурильно-крановые на автомобиле, глубина бурения 3,5 м</v>
      </c>
      <c r="H43" t="str">
        <f>SmtRes!O84</f>
        <v>маш.-ч</v>
      </c>
      <c r="I43">
        <f>SmtRes!Y84*Source!I102</f>
        <v>0.21859999999999999</v>
      </c>
      <c r="J43">
        <f>SmtRes!AO84</f>
        <v>1</v>
      </c>
      <c r="K43">
        <f>SmtRes!AF84</f>
        <v>123.86</v>
      </c>
      <c r="L43">
        <f>SmtRes!DB84</f>
        <v>1353.79</v>
      </c>
      <c r="M43">
        <f>ROUND(ROUND(L43*Source!I102, 2)*1, 2)</f>
        <v>27.08</v>
      </c>
      <c r="N43">
        <f>SmtRes!AB84</f>
        <v>2147.73</v>
      </c>
      <c r="O43">
        <f>ROUND(ROUND(L43*Source!I102, 2)*SmtRes!DA84, 2)</f>
        <v>469.57</v>
      </c>
      <c r="P43">
        <f>SmtRes!AG84</f>
        <v>10.35</v>
      </c>
      <c r="Q43">
        <f>SmtRes!DC84</f>
        <v>113.13</v>
      </c>
      <c r="R43">
        <f>ROUND(ROUND(Q43*Source!I102, 2)*1, 2)</f>
        <v>2.2599999999999998</v>
      </c>
      <c r="S43">
        <f>SmtRes!AC84</f>
        <v>365.04</v>
      </c>
      <c r="T43">
        <f>ROUND(ROUND(Q43*Source!I102, 2)*SmtRes!AK84, 2)</f>
        <v>79.709999999999994</v>
      </c>
      <c r="U43">
        <v>2</v>
      </c>
      <c r="Z43">
        <f>SmtRes!X84</f>
        <v>365905357</v>
      </c>
      <c r="AA43">
        <v>1651061585</v>
      </c>
      <c r="AB43">
        <v>-2144793753</v>
      </c>
    </row>
    <row r="44" spans="1:28" x14ac:dyDescent="0.2">
      <c r="A44">
        <v>20</v>
      </c>
      <c r="B44">
        <v>83</v>
      </c>
      <c r="C44">
        <v>2</v>
      </c>
      <c r="D44">
        <v>0</v>
      </c>
      <c r="E44">
        <f>SmtRes!AV83</f>
        <v>0</v>
      </c>
      <c r="F44" t="str">
        <f>SmtRes!I83</f>
        <v>110054</v>
      </c>
      <c r="G44" t="str">
        <f>SmtRes!K83</f>
        <v>Автобетоносмесители 5 м3</v>
      </c>
      <c r="H44" t="str">
        <f>SmtRes!O83</f>
        <v>маш.-ч</v>
      </c>
      <c r="I44">
        <f>SmtRes!Y83*Source!I102</f>
        <v>0.21480000000000002</v>
      </c>
      <c r="J44">
        <f>SmtRes!AO83</f>
        <v>1</v>
      </c>
      <c r="K44">
        <f>SmtRes!AF83</f>
        <v>189</v>
      </c>
      <c r="L44">
        <f>SmtRes!DB83</f>
        <v>2029.86</v>
      </c>
      <c r="M44">
        <f>ROUND(ROUND(L44*Source!I102, 2)*1, 2)</f>
        <v>40.6</v>
      </c>
      <c r="N44">
        <f>SmtRes!AB83</f>
        <v>1532.79</v>
      </c>
      <c r="O44">
        <f>ROUND(ROUND(L44*Source!I102, 2)*SmtRes!DA83, 2)</f>
        <v>329.27</v>
      </c>
      <c r="P44">
        <f>SmtRes!AG83</f>
        <v>12.1</v>
      </c>
      <c r="Q44">
        <f>SmtRes!DC83</f>
        <v>129.94999999999999</v>
      </c>
      <c r="R44">
        <f>ROUND(ROUND(Q44*Source!I102, 2)*1, 2)</f>
        <v>2.6</v>
      </c>
      <c r="S44">
        <f>SmtRes!AC83</f>
        <v>426.77</v>
      </c>
      <c r="T44">
        <f>ROUND(ROUND(Q44*Source!I102, 2)*SmtRes!AK83, 2)</f>
        <v>91.7</v>
      </c>
      <c r="U44">
        <v>2</v>
      </c>
      <c r="Z44">
        <f>SmtRes!X83</f>
        <v>-1484005730</v>
      </c>
      <c r="AA44">
        <v>-1341846400</v>
      </c>
      <c r="AB44">
        <v>-1047769044</v>
      </c>
    </row>
    <row r="45" spans="1:28" x14ac:dyDescent="0.2">
      <c r="A45">
        <v>20</v>
      </c>
      <c r="B45">
        <v>81</v>
      </c>
      <c r="C45">
        <v>1</v>
      </c>
      <c r="D45">
        <v>0</v>
      </c>
      <c r="E45">
        <f>SmtRes!AV81</f>
        <v>1</v>
      </c>
      <c r="F45" t="str">
        <f>SmtRes!I81</f>
        <v>1-1030-21</v>
      </c>
      <c r="G45" t="str">
        <f>SmtRes!K81</f>
        <v>Рабочий строитель среднего разряда 3</v>
      </c>
      <c r="H45" t="str">
        <f>SmtRes!O81</f>
        <v>чел.-ч</v>
      </c>
      <c r="I45">
        <f>SmtRes!Y81*Source!I102</f>
        <v>0.71279999999999999</v>
      </c>
      <c r="J45">
        <f>SmtRes!AO81</f>
        <v>1</v>
      </c>
      <c r="K45">
        <f>SmtRes!AH81</f>
        <v>7.97</v>
      </c>
      <c r="L45">
        <f>SmtRes!DB81</f>
        <v>284.05</v>
      </c>
      <c r="M45">
        <f>ROUND(ROUND(L45*Source!I102, 2)*1, 2)</f>
        <v>5.68</v>
      </c>
      <c r="N45">
        <f>SmtRes!AD81</f>
        <v>7.97</v>
      </c>
      <c r="O45">
        <f>ROUND(ROUND(L45*Source!I102, 2)*SmtRes!DA81, 2)</f>
        <v>5.68</v>
      </c>
      <c r="P45">
        <f>SmtRes!AG81</f>
        <v>0</v>
      </c>
      <c r="Q45">
        <f>SmtRes!DC81</f>
        <v>0</v>
      </c>
      <c r="R45">
        <f>ROUND(ROUND(Q45*Source!I102, 2)*1, 2)</f>
        <v>0</v>
      </c>
      <c r="S45">
        <f>SmtRes!AC81</f>
        <v>0</v>
      </c>
      <c r="T45">
        <f>ROUND(ROUND(Q45*Source!I102, 2)*SmtRes!AK81, 2)</f>
        <v>0</v>
      </c>
      <c r="U45">
        <v>1</v>
      </c>
      <c r="Z45">
        <f>SmtRes!X81</f>
        <v>756115135</v>
      </c>
      <c r="AA45">
        <v>-103154406</v>
      </c>
      <c r="AB45">
        <v>1494462434</v>
      </c>
    </row>
    <row r="46" spans="1:28" x14ac:dyDescent="0.2">
      <c r="A46">
        <f>Source!A105</f>
        <v>17</v>
      </c>
      <c r="B46">
        <v>105</v>
      </c>
      <c r="C46">
        <v>3</v>
      </c>
      <c r="D46">
        <f>Source!BI105</f>
        <v>1</v>
      </c>
      <c r="E46">
        <f>Source!FS105</f>
        <v>0</v>
      </c>
      <c r="F46" t="str">
        <f>Source!F105</f>
        <v>201-0778</v>
      </c>
      <c r="G46" t="str">
        <f>Source!G105</f>
        <v>Прочие индивидуальные сварные конструкции, масса сборочной единицы до 0,1 т</v>
      </c>
      <c r="H46" t="str">
        <f>Source!H105</f>
        <v>т</v>
      </c>
      <c r="I46">
        <f>Source!I105</f>
        <v>5.0200000000000002E-2</v>
      </c>
      <c r="J46">
        <v>1</v>
      </c>
      <c r="K46">
        <f>Source!AC105</f>
        <v>11315</v>
      </c>
      <c r="M46">
        <f>ROUND(K46*I46, 2)</f>
        <v>568.01</v>
      </c>
      <c r="N46">
        <f>Source!AC105*IF(Source!BC105&lt;&gt; 0, Source!BC105, 1)</f>
        <v>114394.65</v>
      </c>
      <c r="O46">
        <f>ROUND(N46*I46, 2)</f>
        <v>5742.61</v>
      </c>
      <c r="P46">
        <f>Source!AE105</f>
        <v>0</v>
      </c>
      <c r="R46">
        <f>ROUND(P46*I46, 2)</f>
        <v>0</v>
      </c>
      <c r="S46">
        <f>Source!AE105*IF(Source!BS105&lt;&gt; 0, Source!BS105, 1)</f>
        <v>0</v>
      </c>
      <c r="T46">
        <f>ROUND(S46*I46, 2)</f>
        <v>0</v>
      </c>
      <c r="U46">
        <v>3</v>
      </c>
      <c r="Z46">
        <f>Source!GF105</f>
        <v>-1753768920</v>
      </c>
      <c r="AA46">
        <v>-1688617174</v>
      </c>
      <c r="AB46">
        <v>-1378485090</v>
      </c>
    </row>
    <row r="47" spans="1:28" x14ac:dyDescent="0.2">
      <c r="A47">
        <f>Source!A106</f>
        <v>17</v>
      </c>
      <c r="B47">
        <v>106</v>
      </c>
      <c r="C47">
        <v>3</v>
      </c>
      <c r="D47">
        <f>Source!BI106</f>
        <v>1</v>
      </c>
      <c r="E47">
        <f>Source!FS106</f>
        <v>0</v>
      </c>
      <c r="F47" t="str">
        <f>Source!F106</f>
        <v>401-0107</v>
      </c>
      <c r="G47" t="str">
        <f>Source!G106</f>
        <v>Бетон дорожный, класс В20 (М250)</v>
      </c>
      <c r="H47" t="str">
        <f>Source!H106</f>
        <v>м3</v>
      </c>
      <c r="I47">
        <f>Source!I106</f>
        <v>0.1268</v>
      </c>
      <c r="J47">
        <v>1</v>
      </c>
      <c r="K47">
        <f>Source!AC106</f>
        <v>620</v>
      </c>
      <c r="M47">
        <f>ROUND(K47*I47, 2)</f>
        <v>78.62</v>
      </c>
      <c r="N47">
        <f>Source!AC106*IF(Source!BC106&lt;&gt; 0, Source!BC106, 1)</f>
        <v>8413.4</v>
      </c>
      <c r="O47">
        <f>ROUND(N47*I47, 2)</f>
        <v>1066.82</v>
      </c>
      <c r="P47">
        <f>Source!AE106</f>
        <v>0</v>
      </c>
      <c r="R47">
        <f>ROUND(P47*I47, 2)</f>
        <v>0</v>
      </c>
      <c r="S47">
        <f>Source!AE106*IF(Source!BS106&lt;&gt; 0, Source!BS106, 1)</f>
        <v>0</v>
      </c>
      <c r="T47">
        <f>ROUND(S47*I47, 2)</f>
        <v>0</v>
      </c>
      <c r="U47">
        <v>3</v>
      </c>
      <c r="Z47">
        <f>Source!GF106</f>
        <v>212600257</v>
      </c>
      <c r="AA47">
        <v>-884352217</v>
      </c>
      <c r="AB47">
        <v>-2013407810</v>
      </c>
    </row>
    <row r="48" spans="1:28" x14ac:dyDescent="0.2">
      <c r="A48">
        <v>20</v>
      </c>
      <c r="B48">
        <v>103</v>
      </c>
      <c r="C48">
        <v>3</v>
      </c>
      <c r="D48">
        <v>0</v>
      </c>
      <c r="E48">
        <f>SmtRes!AV103</f>
        <v>0</v>
      </c>
      <c r="F48" t="str">
        <f>SmtRes!I103</f>
        <v>999-9950</v>
      </c>
      <c r="G48" t="str">
        <f>SmtRes!K103</f>
        <v>Вспомогательные ненормируемые материалы (2% от ОЗП)</v>
      </c>
      <c r="H48" t="str">
        <f>SmtRes!O103</f>
        <v>РУБ</v>
      </c>
      <c r="I48">
        <f>SmtRes!Y103*Source!I107</f>
        <v>5.0281399999999996</v>
      </c>
      <c r="J48">
        <f>SmtRes!AO103</f>
        <v>1</v>
      </c>
      <c r="K48">
        <f>SmtRes!AE103</f>
        <v>1</v>
      </c>
      <c r="L48">
        <f>SmtRes!DB103</f>
        <v>21.58</v>
      </c>
      <c r="M48">
        <f>ROUND(ROUND(L48*Source!I107, 2)*1, 2)</f>
        <v>5.03</v>
      </c>
      <c r="N48">
        <f>SmtRes!AA103</f>
        <v>1</v>
      </c>
      <c r="O48">
        <f>ROUND(ROUND(L48*Source!I107, 2)*SmtRes!DA103, 2)</f>
        <v>5.03</v>
      </c>
      <c r="P48">
        <f>SmtRes!AG103</f>
        <v>0</v>
      </c>
      <c r="Q48">
        <f>SmtRes!DC103</f>
        <v>0</v>
      </c>
      <c r="R48">
        <f>ROUND(ROUND(Q48*Source!I107, 2)*1, 2)</f>
        <v>0</v>
      </c>
      <c r="S48">
        <f>SmtRes!AC103</f>
        <v>0</v>
      </c>
      <c r="T48">
        <f>ROUND(ROUND(Q48*Source!I107, 2)*SmtRes!AK103, 2)</f>
        <v>0</v>
      </c>
      <c r="U48">
        <v>3</v>
      </c>
      <c r="Z48">
        <f>SmtRes!X103</f>
        <v>2131831278</v>
      </c>
      <c r="AA48">
        <v>1992150135</v>
      </c>
      <c r="AB48">
        <v>1023952351</v>
      </c>
    </row>
    <row r="49" spans="1:28" x14ac:dyDescent="0.2">
      <c r="A49">
        <v>20</v>
      </c>
      <c r="B49">
        <v>102</v>
      </c>
      <c r="C49">
        <v>3</v>
      </c>
      <c r="D49">
        <v>0</v>
      </c>
      <c r="E49">
        <f>SmtRes!AV102</f>
        <v>0</v>
      </c>
      <c r="F49" t="str">
        <f>SmtRes!I102</f>
        <v>101-2278</v>
      </c>
      <c r="G49" t="str">
        <f>SmtRes!K102</f>
        <v>Пропан-бутан, смесь техническая</v>
      </c>
      <c r="H49" t="str">
        <f>SmtRes!O102</f>
        <v>кг</v>
      </c>
      <c r="I49">
        <f>SmtRes!Y102*Source!I107</f>
        <v>0.11650000000000001</v>
      </c>
      <c r="J49">
        <f>SmtRes!AO102</f>
        <v>1</v>
      </c>
      <c r="K49">
        <f>SmtRes!AE102</f>
        <v>6.62</v>
      </c>
      <c r="L49">
        <f>SmtRes!DB102</f>
        <v>3.31</v>
      </c>
      <c r="M49">
        <f>ROUND(ROUND(L49*Source!I107, 2)*1, 2)</f>
        <v>0.77</v>
      </c>
      <c r="N49">
        <f>SmtRes!AA102</f>
        <v>53.09</v>
      </c>
      <c r="O49">
        <f>ROUND(ROUND(L49*Source!I107, 2)*SmtRes!DA102, 2)</f>
        <v>6.18</v>
      </c>
      <c r="P49">
        <f>SmtRes!AG102</f>
        <v>0</v>
      </c>
      <c r="Q49">
        <f>SmtRes!DC102</f>
        <v>0</v>
      </c>
      <c r="R49">
        <f>ROUND(ROUND(Q49*Source!I107, 2)*1, 2)</f>
        <v>0</v>
      </c>
      <c r="S49">
        <f>SmtRes!AC102</f>
        <v>0</v>
      </c>
      <c r="T49">
        <f>ROUND(ROUND(Q49*Source!I107, 2)*SmtRes!AK102, 2)</f>
        <v>0</v>
      </c>
      <c r="U49">
        <v>3</v>
      </c>
      <c r="Z49">
        <f>SmtRes!X102</f>
        <v>873943321</v>
      </c>
      <c r="AA49">
        <v>-395631024</v>
      </c>
      <c r="AB49">
        <v>1803414858</v>
      </c>
    </row>
    <row r="50" spans="1:28" x14ac:dyDescent="0.2">
      <c r="A50">
        <v>20</v>
      </c>
      <c r="B50">
        <v>101</v>
      </c>
      <c r="C50">
        <v>3</v>
      </c>
      <c r="D50">
        <v>0</v>
      </c>
      <c r="E50">
        <f>SmtRes!AV101</f>
        <v>0</v>
      </c>
      <c r="F50" t="str">
        <f>SmtRes!I101</f>
        <v>101-1521</v>
      </c>
      <c r="G50" t="str">
        <f>SmtRes!K101</f>
        <v>Электроды диаметром 5 мм Э42</v>
      </c>
      <c r="H50" t="str">
        <f>SmtRes!O101</f>
        <v>т</v>
      </c>
      <c r="I50">
        <f>SmtRes!Y101*Source!I107</f>
        <v>5.0095000000000001E-3</v>
      </c>
      <c r="J50">
        <f>SmtRes!AO101</f>
        <v>1</v>
      </c>
      <c r="K50">
        <f>SmtRes!AE101</f>
        <v>10362</v>
      </c>
      <c r="L50">
        <f>SmtRes!DB101</f>
        <v>222.78</v>
      </c>
      <c r="M50">
        <f>ROUND(ROUND(L50*Source!I107, 2)*1, 2)</f>
        <v>51.91</v>
      </c>
      <c r="N50">
        <f>SmtRes!AA101</f>
        <v>112531.32</v>
      </c>
      <c r="O50">
        <f>ROUND(ROUND(L50*Source!I107, 2)*SmtRes!DA101, 2)</f>
        <v>563.74</v>
      </c>
      <c r="P50">
        <f>SmtRes!AG101</f>
        <v>0</v>
      </c>
      <c r="Q50">
        <f>SmtRes!DC101</f>
        <v>0</v>
      </c>
      <c r="R50">
        <f>ROUND(ROUND(Q50*Source!I107, 2)*1, 2)</f>
        <v>0</v>
      </c>
      <c r="S50">
        <f>SmtRes!AC101</f>
        <v>0</v>
      </c>
      <c r="T50">
        <f>ROUND(ROUND(Q50*Source!I107, 2)*SmtRes!AK101, 2)</f>
        <v>0</v>
      </c>
      <c r="U50">
        <v>3</v>
      </c>
      <c r="Z50">
        <f>SmtRes!X101</f>
        <v>11327254</v>
      </c>
      <c r="AA50">
        <v>999610999</v>
      </c>
      <c r="AB50">
        <v>-1874844446</v>
      </c>
    </row>
    <row r="51" spans="1:28" x14ac:dyDescent="0.2">
      <c r="A51">
        <v>20</v>
      </c>
      <c r="B51">
        <v>99</v>
      </c>
      <c r="C51">
        <v>3</v>
      </c>
      <c r="D51">
        <v>0</v>
      </c>
      <c r="E51">
        <f>SmtRes!AV99</f>
        <v>0</v>
      </c>
      <c r="F51" t="str">
        <f>SmtRes!I99</f>
        <v>101-0324</v>
      </c>
      <c r="G51" t="str">
        <f>SmtRes!K99</f>
        <v>Кислород технический газообразный</v>
      </c>
      <c r="H51" t="str">
        <f>SmtRes!O99</f>
        <v>м3</v>
      </c>
      <c r="I51">
        <f>SmtRes!Y99*Source!I107</f>
        <v>0.60580000000000001</v>
      </c>
      <c r="J51">
        <f>SmtRes!AO99</f>
        <v>1</v>
      </c>
      <c r="K51">
        <f>SmtRes!AE99</f>
        <v>6.22</v>
      </c>
      <c r="L51">
        <f>SmtRes!DB99</f>
        <v>16.170000000000002</v>
      </c>
      <c r="M51">
        <f>ROUND(ROUND(L51*Source!I107, 2)*1, 2)</f>
        <v>3.77</v>
      </c>
      <c r="N51">
        <f>SmtRes!AA99</f>
        <v>118.62</v>
      </c>
      <c r="O51">
        <f>ROUND(ROUND(L51*Source!I107, 2)*SmtRes!DA99, 2)</f>
        <v>71.89</v>
      </c>
      <c r="P51">
        <f>SmtRes!AG99</f>
        <v>0</v>
      </c>
      <c r="Q51">
        <f>SmtRes!DC99</f>
        <v>0</v>
      </c>
      <c r="R51">
        <f>ROUND(ROUND(Q51*Source!I107, 2)*1, 2)</f>
        <v>0</v>
      </c>
      <c r="S51">
        <f>SmtRes!AC99</f>
        <v>0</v>
      </c>
      <c r="T51">
        <f>ROUND(ROUND(Q51*Source!I107, 2)*SmtRes!AK99, 2)</f>
        <v>0</v>
      </c>
      <c r="U51">
        <v>3</v>
      </c>
      <c r="Z51">
        <f>SmtRes!X99</f>
        <v>-821751618</v>
      </c>
      <c r="AA51">
        <v>2128337316</v>
      </c>
      <c r="AB51">
        <v>-1112411388</v>
      </c>
    </row>
    <row r="52" spans="1:28" x14ac:dyDescent="0.2">
      <c r="A52">
        <v>20</v>
      </c>
      <c r="B52">
        <v>98</v>
      </c>
      <c r="C52">
        <v>2</v>
      </c>
      <c r="D52">
        <v>0</v>
      </c>
      <c r="E52">
        <f>SmtRes!AV98</f>
        <v>0</v>
      </c>
      <c r="F52" t="str">
        <f>SmtRes!I98</f>
        <v>400002</v>
      </c>
      <c r="G52" t="str">
        <f>SmtRes!K98</f>
        <v>Автомобили бортовые, грузоподъемность до 8 т</v>
      </c>
      <c r="H52" t="str">
        <f>SmtRes!O98</f>
        <v>маш.-ч</v>
      </c>
      <c r="I52">
        <f>SmtRes!Y98*Source!I107</f>
        <v>0.11650000000000001</v>
      </c>
      <c r="J52">
        <f>SmtRes!AO98</f>
        <v>1</v>
      </c>
      <c r="K52">
        <f>SmtRes!AF98</f>
        <v>102.97</v>
      </c>
      <c r="L52">
        <f>SmtRes!DB98</f>
        <v>51.49</v>
      </c>
      <c r="M52">
        <f>ROUND(ROUND(L52*Source!I107, 2)*1, 2)</f>
        <v>12</v>
      </c>
      <c r="N52">
        <f>SmtRes!AB98</f>
        <v>1368.47</v>
      </c>
      <c r="O52">
        <f>ROUND(ROUND(L52*Source!I107, 2)*SmtRes!DA98, 2)</f>
        <v>159.47999999999999</v>
      </c>
      <c r="P52">
        <f>SmtRes!AG98</f>
        <v>10.35</v>
      </c>
      <c r="Q52">
        <f>SmtRes!DC98</f>
        <v>5.18</v>
      </c>
      <c r="R52">
        <f>ROUND(ROUND(Q52*Source!I107, 2)*1, 2)</f>
        <v>1.21</v>
      </c>
      <c r="S52">
        <f>SmtRes!AC98</f>
        <v>365.04</v>
      </c>
      <c r="T52">
        <f>ROUND(ROUND(Q52*Source!I107, 2)*SmtRes!AK98, 2)</f>
        <v>42.68</v>
      </c>
      <c r="U52">
        <v>2</v>
      </c>
      <c r="Z52">
        <f>SmtRes!X98</f>
        <v>1291556968</v>
      </c>
      <c r="AA52">
        <v>-1586118319</v>
      </c>
      <c r="AB52">
        <v>1538582135</v>
      </c>
    </row>
    <row r="53" spans="1:28" x14ac:dyDescent="0.2">
      <c r="A53">
        <v>20</v>
      </c>
      <c r="B53">
        <v>97</v>
      </c>
      <c r="C53">
        <v>2</v>
      </c>
      <c r="D53">
        <v>0</v>
      </c>
      <c r="E53">
        <f>SmtRes!AV97</f>
        <v>0</v>
      </c>
      <c r="F53" t="str">
        <f>SmtRes!I97</f>
        <v>350481</v>
      </c>
      <c r="G53" t="str">
        <f>SmtRes!K97</f>
        <v>Пресс-ножницы комбинированные</v>
      </c>
      <c r="H53" t="str">
        <f>SmtRes!O97</f>
        <v>маш.-ч</v>
      </c>
      <c r="I53">
        <f>SmtRes!Y97*Source!I107</f>
        <v>0.19572000000000001</v>
      </c>
      <c r="J53">
        <f>SmtRes!AO97</f>
        <v>1</v>
      </c>
      <c r="K53">
        <f>SmtRes!AF97</f>
        <v>14.45</v>
      </c>
      <c r="L53">
        <f>SmtRes!DB97</f>
        <v>12.14</v>
      </c>
      <c r="M53">
        <f>ROUND(ROUND(L53*Source!I107, 2)*1, 2)</f>
        <v>2.83</v>
      </c>
      <c r="N53">
        <f>SmtRes!AB97</f>
        <v>341.89</v>
      </c>
      <c r="O53">
        <f>ROUND(ROUND(L53*Source!I107, 2)*SmtRes!DA97, 2)</f>
        <v>66.959999999999994</v>
      </c>
      <c r="P53">
        <f>SmtRes!AG97</f>
        <v>9</v>
      </c>
      <c r="Q53">
        <f>SmtRes!DC97</f>
        <v>7.56</v>
      </c>
      <c r="R53">
        <f>ROUND(ROUND(Q53*Source!I107, 2)*1, 2)</f>
        <v>1.76</v>
      </c>
      <c r="S53">
        <f>SmtRes!AC97</f>
        <v>317.43</v>
      </c>
      <c r="T53">
        <f>ROUND(ROUND(Q53*Source!I107, 2)*SmtRes!AK97, 2)</f>
        <v>62.08</v>
      </c>
      <c r="U53">
        <v>2</v>
      </c>
      <c r="Z53">
        <f>SmtRes!X97</f>
        <v>-1950449696</v>
      </c>
      <c r="AA53">
        <v>1747519070</v>
      </c>
      <c r="AB53">
        <v>-1876761393</v>
      </c>
    </row>
    <row r="54" spans="1:28" x14ac:dyDescent="0.2">
      <c r="A54">
        <v>20</v>
      </c>
      <c r="B54">
        <v>96</v>
      </c>
      <c r="C54">
        <v>2</v>
      </c>
      <c r="D54">
        <v>0</v>
      </c>
      <c r="E54">
        <f>SmtRes!AV96</f>
        <v>0</v>
      </c>
      <c r="F54" t="str">
        <f>SmtRes!I96</f>
        <v>330301</v>
      </c>
      <c r="G54" t="str">
        <f>SmtRes!K96</f>
        <v>Машины шлифовальные электрические</v>
      </c>
      <c r="H54" t="str">
        <f>SmtRes!O96</f>
        <v>маш.-ч</v>
      </c>
      <c r="I54">
        <f>SmtRes!Y96*Source!I107</f>
        <v>0.25630000000000003</v>
      </c>
      <c r="J54">
        <f>SmtRes!AO96</f>
        <v>1</v>
      </c>
      <c r="K54">
        <f>SmtRes!AF96</f>
        <v>5.4</v>
      </c>
      <c r="L54">
        <f>SmtRes!DB96</f>
        <v>5.94</v>
      </c>
      <c r="M54">
        <f>ROUND(ROUND(L54*Source!I107, 2)*1, 2)</f>
        <v>1.38</v>
      </c>
      <c r="N54">
        <f>SmtRes!AB96</f>
        <v>25.97</v>
      </c>
      <c r="O54">
        <f>ROUND(ROUND(L54*Source!I107, 2)*SmtRes!DA96, 2)</f>
        <v>6.64</v>
      </c>
      <c r="P54">
        <f>SmtRes!AG96</f>
        <v>0</v>
      </c>
      <c r="Q54">
        <f>SmtRes!DC96</f>
        <v>0</v>
      </c>
      <c r="R54">
        <f>ROUND(ROUND(Q54*Source!I107, 2)*1, 2)</f>
        <v>0</v>
      </c>
      <c r="S54">
        <f>SmtRes!AC96</f>
        <v>0</v>
      </c>
      <c r="T54">
        <f>ROUND(ROUND(Q54*Source!I107, 2)*SmtRes!AK96, 2)</f>
        <v>0</v>
      </c>
      <c r="U54">
        <v>2</v>
      </c>
      <c r="Z54">
        <f>SmtRes!X96</f>
        <v>254649463</v>
      </c>
      <c r="AA54">
        <v>-2053689630</v>
      </c>
      <c r="AB54">
        <v>-637050274</v>
      </c>
    </row>
    <row r="55" spans="1:28" x14ac:dyDescent="0.2">
      <c r="A55">
        <v>20</v>
      </c>
      <c r="B55">
        <v>95</v>
      </c>
      <c r="C55">
        <v>2</v>
      </c>
      <c r="D55">
        <v>0</v>
      </c>
      <c r="E55">
        <f>SmtRes!AV95</f>
        <v>0</v>
      </c>
      <c r="F55" t="str">
        <f>SmtRes!I95</f>
        <v>330206</v>
      </c>
      <c r="G55" t="str">
        <f>SmtRes!K95</f>
        <v>Дрели электрические</v>
      </c>
      <c r="H55" t="str">
        <f>SmtRes!O95</f>
        <v>маш.-ч</v>
      </c>
      <c r="I55">
        <f>SmtRes!Y95*Source!I107</f>
        <v>6.9900000000000004E-2</v>
      </c>
      <c r="J55">
        <f>SmtRes!AO95</f>
        <v>1</v>
      </c>
      <c r="K55">
        <f>SmtRes!AF95</f>
        <v>2.15</v>
      </c>
      <c r="L55">
        <f>SmtRes!DB95</f>
        <v>0.65</v>
      </c>
      <c r="M55">
        <f>ROUND(ROUND(L55*Source!I107, 2)*1, 2)</f>
        <v>0.15</v>
      </c>
      <c r="N55">
        <f>SmtRes!AB95</f>
        <v>12.13</v>
      </c>
      <c r="O55">
        <f>ROUND(ROUND(L55*Source!I107, 2)*SmtRes!DA95, 2)</f>
        <v>0.85</v>
      </c>
      <c r="P55">
        <f>SmtRes!AG95</f>
        <v>0</v>
      </c>
      <c r="Q55">
        <f>SmtRes!DC95</f>
        <v>0</v>
      </c>
      <c r="R55">
        <f>ROUND(ROUND(Q55*Source!I107, 2)*1, 2)</f>
        <v>0</v>
      </c>
      <c r="S55">
        <f>SmtRes!AC95</f>
        <v>0</v>
      </c>
      <c r="T55">
        <f>ROUND(ROUND(Q55*Source!I107, 2)*SmtRes!AK95, 2)</f>
        <v>0</v>
      </c>
      <c r="U55">
        <v>2</v>
      </c>
      <c r="Z55">
        <f>SmtRes!X95</f>
        <v>835824343</v>
      </c>
      <c r="AA55">
        <v>-508374777</v>
      </c>
      <c r="AB55">
        <v>70027163</v>
      </c>
    </row>
    <row r="56" spans="1:28" x14ac:dyDescent="0.2">
      <c r="A56">
        <v>20</v>
      </c>
      <c r="B56">
        <v>94</v>
      </c>
      <c r="C56">
        <v>2</v>
      </c>
      <c r="D56">
        <v>0</v>
      </c>
      <c r="E56">
        <f>SmtRes!AV94</f>
        <v>0</v>
      </c>
      <c r="F56" t="str">
        <f>SmtRes!I94</f>
        <v>040504</v>
      </c>
      <c r="G56" t="str">
        <f>SmtRes!K94</f>
        <v>Аппарат для газовой сварки и резки</v>
      </c>
      <c r="H56" t="str">
        <f>SmtRes!O94</f>
        <v>маш.-ч</v>
      </c>
      <c r="I56">
        <f>SmtRes!Y94*Source!I107</f>
        <v>0.23300000000000001</v>
      </c>
      <c r="J56">
        <f>SmtRes!AO94</f>
        <v>1</v>
      </c>
      <c r="K56">
        <f>SmtRes!AF94</f>
        <v>1.43</v>
      </c>
      <c r="L56">
        <f>SmtRes!DB94</f>
        <v>1.43</v>
      </c>
      <c r="M56">
        <f>ROUND(ROUND(L56*Source!I107, 2)*1, 2)</f>
        <v>0.33</v>
      </c>
      <c r="N56">
        <f>SmtRes!AB94</f>
        <v>9.35</v>
      </c>
      <c r="O56">
        <f>ROUND(ROUND(L56*Source!I107, 2)*SmtRes!DA94, 2)</f>
        <v>2.16</v>
      </c>
      <c r="P56">
        <f>SmtRes!AG94</f>
        <v>0</v>
      </c>
      <c r="Q56">
        <f>SmtRes!DC94</f>
        <v>0</v>
      </c>
      <c r="R56">
        <f>ROUND(ROUND(Q56*Source!I107, 2)*1, 2)</f>
        <v>0</v>
      </c>
      <c r="S56">
        <f>SmtRes!AC94</f>
        <v>0</v>
      </c>
      <c r="T56">
        <f>ROUND(ROUND(Q56*Source!I107, 2)*SmtRes!AK94, 2)</f>
        <v>0</v>
      </c>
      <c r="U56">
        <v>2</v>
      </c>
      <c r="Z56">
        <f>SmtRes!X94</f>
        <v>4083802</v>
      </c>
      <c r="AA56">
        <v>-1138127538</v>
      </c>
      <c r="AB56">
        <v>1695468324</v>
      </c>
    </row>
    <row r="57" spans="1:28" x14ac:dyDescent="0.2">
      <c r="A57">
        <v>20</v>
      </c>
      <c r="B57">
        <v>93</v>
      </c>
      <c r="C57">
        <v>2</v>
      </c>
      <c r="D57">
        <v>0</v>
      </c>
      <c r="E57">
        <f>SmtRes!AV93</f>
        <v>0</v>
      </c>
      <c r="F57" t="str">
        <f>SmtRes!I93</f>
        <v>040502</v>
      </c>
      <c r="G57" t="str">
        <f>SmtRes!K93</f>
        <v>Установки для сварки ручной дуговой (постоянного тока)</v>
      </c>
      <c r="H57" t="str">
        <f>SmtRes!O93</f>
        <v>маш.-ч</v>
      </c>
      <c r="I57">
        <f>SmtRes!Y93*Source!I107</f>
        <v>7.0599000000000007</v>
      </c>
      <c r="J57">
        <f>SmtRes!AO93</f>
        <v>1</v>
      </c>
      <c r="K57">
        <f>SmtRes!AF93</f>
        <v>7.55</v>
      </c>
      <c r="L57">
        <f>SmtRes!DB93</f>
        <v>228.77</v>
      </c>
      <c r="M57">
        <f>ROUND(ROUND(L57*Source!I107, 2)*1, 2)</f>
        <v>53.3</v>
      </c>
      <c r="N57">
        <f>SmtRes!AB93</f>
        <v>51.94</v>
      </c>
      <c r="O57">
        <f>ROUND(ROUND(L57*Source!I107, 2)*SmtRes!DA93, 2)</f>
        <v>366.7</v>
      </c>
      <c r="P57">
        <f>SmtRes!AG93</f>
        <v>0</v>
      </c>
      <c r="Q57">
        <f>SmtRes!DC93</f>
        <v>0</v>
      </c>
      <c r="R57">
        <f>ROUND(ROUND(Q57*Source!I107, 2)*1, 2)</f>
        <v>0</v>
      </c>
      <c r="S57">
        <f>SmtRes!AC93</f>
        <v>0</v>
      </c>
      <c r="T57">
        <f>ROUND(ROUND(Q57*Source!I107, 2)*SmtRes!AK93, 2)</f>
        <v>0</v>
      </c>
      <c r="U57">
        <v>2</v>
      </c>
      <c r="Z57">
        <f>SmtRes!X93</f>
        <v>1084334125</v>
      </c>
      <c r="AA57">
        <v>-1008782424</v>
      </c>
      <c r="AB57">
        <v>941240836</v>
      </c>
    </row>
    <row r="58" spans="1:28" x14ac:dyDescent="0.2">
      <c r="A58">
        <v>20</v>
      </c>
      <c r="B58">
        <v>92</v>
      </c>
      <c r="C58">
        <v>2</v>
      </c>
      <c r="D58">
        <v>0</v>
      </c>
      <c r="E58">
        <f>SmtRes!AV92</f>
        <v>0</v>
      </c>
      <c r="F58" t="str">
        <f>SmtRes!I92</f>
        <v>030404</v>
      </c>
      <c r="G58" t="str">
        <f>SmtRes!K92</f>
        <v>Лебедки электрические тяговым усилием до 31,39 кН (3,2 т)</v>
      </c>
      <c r="H58" t="str">
        <f>SmtRes!O92</f>
        <v>маш.-ч</v>
      </c>
      <c r="I58">
        <f>SmtRes!Y92*Source!I107</f>
        <v>0.31921000000000005</v>
      </c>
      <c r="J58">
        <f>SmtRes!AO92</f>
        <v>1</v>
      </c>
      <c r="K58">
        <f>SmtRes!AF92</f>
        <v>7.11</v>
      </c>
      <c r="L58">
        <f>SmtRes!DB92</f>
        <v>9.74</v>
      </c>
      <c r="M58">
        <f>ROUND(ROUND(L58*Source!I107, 2)*1, 2)</f>
        <v>2.27</v>
      </c>
      <c r="N58">
        <f>SmtRes!AB92</f>
        <v>37.19</v>
      </c>
      <c r="O58">
        <f>ROUND(ROUND(L58*Source!I107, 2)*SmtRes!DA92, 2)</f>
        <v>11.87</v>
      </c>
      <c r="P58">
        <f>SmtRes!AG92</f>
        <v>0</v>
      </c>
      <c r="Q58">
        <f>SmtRes!DC92</f>
        <v>0</v>
      </c>
      <c r="R58">
        <f>ROUND(ROUND(Q58*Source!I107, 2)*1, 2)</f>
        <v>0</v>
      </c>
      <c r="S58">
        <f>SmtRes!AC92</f>
        <v>0</v>
      </c>
      <c r="T58">
        <f>ROUND(ROUND(Q58*Source!I107, 2)*SmtRes!AK92, 2)</f>
        <v>0</v>
      </c>
      <c r="U58">
        <v>2</v>
      </c>
      <c r="Z58">
        <f>SmtRes!X92</f>
        <v>-892985829</v>
      </c>
      <c r="AA58">
        <v>-1782467672</v>
      </c>
      <c r="AB58">
        <v>1774129091</v>
      </c>
    </row>
    <row r="59" spans="1:28" x14ac:dyDescent="0.2">
      <c r="A59">
        <v>20</v>
      </c>
      <c r="B59">
        <v>91</v>
      </c>
      <c r="C59">
        <v>2</v>
      </c>
      <c r="D59">
        <v>0</v>
      </c>
      <c r="E59">
        <f>SmtRes!AV91</f>
        <v>0</v>
      </c>
      <c r="F59" t="str">
        <f>SmtRes!I91</f>
        <v>021102</v>
      </c>
      <c r="G59" t="str">
        <f>SmtRes!K91</f>
        <v>Краны на автомобильном ходу при работе на монтаже технологического оборудования 10 т</v>
      </c>
      <c r="H59" t="str">
        <f>SmtRes!O91</f>
        <v>маш.-ч</v>
      </c>
      <c r="I59">
        <f>SmtRes!Y91*Source!I107</f>
        <v>0.11650000000000001</v>
      </c>
      <c r="J59">
        <f>SmtRes!AO91</f>
        <v>1</v>
      </c>
      <c r="K59">
        <f>SmtRes!AF91</f>
        <v>138.54</v>
      </c>
      <c r="L59">
        <f>SmtRes!DB91</f>
        <v>69.27</v>
      </c>
      <c r="M59">
        <f>ROUND(ROUND(L59*Source!I107, 2)*1, 2)</f>
        <v>16.14</v>
      </c>
      <c r="N59">
        <f>SmtRes!AB91</f>
        <v>1471.29</v>
      </c>
      <c r="O59">
        <f>ROUND(ROUND(L59*Source!I107, 2)*SmtRes!DA91, 2)</f>
        <v>171.41</v>
      </c>
      <c r="P59">
        <f>SmtRes!AG91</f>
        <v>12.1</v>
      </c>
      <c r="Q59">
        <f>SmtRes!DC91</f>
        <v>6.05</v>
      </c>
      <c r="R59">
        <f>ROUND(ROUND(Q59*Source!I107, 2)*1, 2)</f>
        <v>1.41</v>
      </c>
      <c r="S59">
        <f>SmtRes!AC91</f>
        <v>426.77</v>
      </c>
      <c r="T59">
        <f>ROUND(ROUND(Q59*Source!I107, 2)*SmtRes!AK91, 2)</f>
        <v>49.73</v>
      </c>
      <c r="U59">
        <v>2</v>
      </c>
      <c r="Z59">
        <f>SmtRes!X91</f>
        <v>-1424728221</v>
      </c>
      <c r="AA59">
        <v>797071402</v>
      </c>
      <c r="AB59">
        <v>909939467</v>
      </c>
    </row>
    <row r="60" spans="1:28" x14ac:dyDescent="0.2">
      <c r="A60">
        <v>20</v>
      </c>
      <c r="B60">
        <v>89</v>
      </c>
      <c r="C60">
        <v>1</v>
      </c>
      <c r="D60">
        <v>0</v>
      </c>
      <c r="E60">
        <f>SmtRes!AV89</f>
        <v>1</v>
      </c>
      <c r="F60" t="str">
        <f>SmtRes!I89</f>
        <v>1-2040-21</v>
      </c>
      <c r="G60" t="str">
        <f>SmtRes!K89</f>
        <v>Рабочий монтажник среднего разряда 4</v>
      </c>
      <c r="H60" t="str">
        <f>SmtRes!O89</f>
        <v>чел.-ч</v>
      </c>
      <c r="I60">
        <f>SmtRes!Y89*Source!I107</f>
        <v>27.96</v>
      </c>
      <c r="J60">
        <f>SmtRes!AO89</f>
        <v>1</v>
      </c>
      <c r="K60">
        <f>SmtRes!AH89</f>
        <v>8.99</v>
      </c>
      <c r="L60">
        <f>SmtRes!DB89</f>
        <v>1078.8</v>
      </c>
      <c r="M60">
        <f>ROUND(ROUND(L60*Source!I107, 2)*1, 2)</f>
        <v>251.36</v>
      </c>
      <c r="N60">
        <f>SmtRes!AD89</f>
        <v>8.99</v>
      </c>
      <c r="O60">
        <f>ROUND(ROUND(L60*Source!I107, 2)*SmtRes!DA89, 2)</f>
        <v>251.36</v>
      </c>
      <c r="P60">
        <f>SmtRes!AG89</f>
        <v>0</v>
      </c>
      <c r="Q60">
        <f>SmtRes!DC89</f>
        <v>0</v>
      </c>
      <c r="R60">
        <f>ROUND(ROUND(Q60*Source!I107, 2)*1, 2)</f>
        <v>0</v>
      </c>
      <c r="S60">
        <f>SmtRes!AC89</f>
        <v>0</v>
      </c>
      <c r="T60">
        <f>ROUND(ROUND(Q60*Source!I107, 2)*SmtRes!AK89, 2)</f>
        <v>0</v>
      </c>
      <c r="U60">
        <v>1</v>
      </c>
      <c r="Z60">
        <f>SmtRes!X89</f>
        <v>1072260845</v>
      </c>
      <c r="AA60">
        <v>-860552238</v>
      </c>
      <c r="AB60">
        <v>1979772072</v>
      </c>
    </row>
    <row r="61" spans="1:28" x14ac:dyDescent="0.2">
      <c r="A61">
        <f>Source!A109</f>
        <v>17</v>
      </c>
      <c r="B61">
        <v>109</v>
      </c>
      <c r="C61">
        <v>3</v>
      </c>
      <c r="D61">
        <f>Source!BI109</f>
        <v>1</v>
      </c>
      <c r="E61">
        <f>Source!FS109</f>
        <v>0</v>
      </c>
      <c r="F61" t="str">
        <f>Source!F109</f>
        <v>103-1558</v>
      </c>
      <c r="G61" t="str">
        <f>Source!G109</f>
        <v>Трубы стальные квадратные из стали марки ст1-3сп/пс размером 20х20 мм, толщина стенки 2 мм</v>
      </c>
      <c r="H61" t="str">
        <f>Source!H109</f>
        <v>т</v>
      </c>
      <c r="I61">
        <f>Source!I109</f>
        <v>8.4000000000000005E-2</v>
      </c>
      <c r="J61">
        <v>1</v>
      </c>
      <c r="K61">
        <f>Source!AC109</f>
        <v>6232.24</v>
      </c>
      <c r="M61">
        <f>ROUND(K61*I61, 2)</f>
        <v>523.51</v>
      </c>
      <c r="N61">
        <f>Source!AC109*IF(Source!BC109&lt;&gt; 0, Source!BC109, 1)</f>
        <v>65999.421600000001</v>
      </c>
      <c r="O61">
        <f>ROUND(N61*I61, 2)</f>
        <v>5543.95</v>
      </c>
      <c r="P61">
        <f>Source!AE109</f>
        <v>0</v>
      </c>
      <c r="R61">
        <f>ROUND(P61*I61, 2)</f>
        <v>0</v>
      </c>
      <c r="S61">
        <f>Source!AE109*IF(Source!BS109&lt;&gt; 0, Source!BS109, 1)</f>
        <v>0</v>
      </c>
      <c r="T61">
        <f>ROUND(S61*I61, 2)</f>
        <v>0</v>
      </c>
      <c r="U61">
        <v>3</v>
      </c>
      <c r="Z61">
        <f>Source!GF109</f>
        <v>-1184756589</v>
      </c>
      <c r="AA61">
        <v>-1505762689</v>
      </c>
      <c r="AB61">
        <v>-1032726550</v>
      </c>
    </row>
    <row r="62" spans="1:28" x14ac:dyDescent="0.2">
      <c r="A62">
        <f>Source!A110</f>
        <v>17</v>
      </c>
      <c r="B62">
        <v>110</v>
      </c>
      <c r="C62">
        <v>3</v>
      </c>
      <c r="D62">
        <f>Source!BI110</f>
        <v>1</v>
      </c>
      <c r="E62">
        <f>Source!FS110</f>
        <v>0</v>
      </c>
      <c r="F62" t="str">
        <f>Source!F110</f>
        <v>103-1945</v>
      </c>
      <c r="G62" t="str">
        <f>Source!G110</f>
        <v>Трубы стальные прямоугольные из стали марки ст1-3сп/пс размером 60х40 мм, толщина стенки 2 мм</v>
      </c>
      <c r="H62" t="str">
        <f>Source!H110</f>
        <v>т</v>
      </c>
      <c r="I62">
        <f>Source!I110</f>
        <v>6.1400000000000003E-2</v>
      </c>
      <c r="J62">
        <v>1</v>
      </c>
      <c r="K62">
        <f>Source!AC110</f>
        <v>6232.24</v>
      </c>
      <c r="M62">
        <f>ROUND(K62*I62, 2)</f>
        <v>382.66</v>
      </c>
      <c r="N62">
        <f>Source!AC110*IF(Source!BC110&lt;&gt; 0, Source!BC110, 1)</f>
        <v>67432.836800000005</v>
      </c>
      <c r="O62">
        <f>ROUND(N62*I62, 2)</f>
        <v>4140.38</v>
      </c>
      <c r="P62">
        <f>Source!AE110</f>
        <v>0</v>
      </c>
      <c r="R62">
        <f>ROUND(P62*I62, 2)</f>
        <v>0</v>
      </c>
      <c r="S62">
        <f>Source!AE110*IF(Source!BS110&lt;&gt; 0, Source!BS110, 1)</f>
        <v>0</v>
      </c>
      <c r="T62">
        <f>ROUND(S62*I62, 2)</f>
        <v>0</v>
      </c>
      <c r="U62">
        <v>3</v>
      </c>
      <c r="Z62">
        <f>Source!GF110</f>
        <v>-288807419</v>
      </c>
      <c r="AA62">
        <v>1638962341</v>
      </c>
      <c r="AB62">
        <v>-1595798666</v>
      </c>
    </row>
    <row r="63" spans="1:28" x14ac:dyDescent="0.2">
      <c r="A63">
        <f>Source!A111</f>
        <v>17</v>
      </c>
      <c r="B63">
        <v>111</v>
      </c>
      <c r="C63">
        <v>3</v>
      </c>
      <c r="D63">
        <f>Source!BI111</f>
        <v>1</v>
      </c>
      <c r="E63">
        <f>Source!FS111</f>
        <v>0</v>
      </c>
      <c r="F63" t="str">
        <f>Source!F111</f>
        <v>101-3687</v>
      </c>
      <c r="G63" t="str">
        <f>Source!G111</f>
        <v>Швеллеры № 14 сталь марки Ст3пс</v>
      </c>
      <c r="H63" t="str">
        <f>Source!H111</f>
        <v>т</v>
      </c>
      <c r="I63">
        <f>Source!I111</f>
        <v>3.7600000000000001E-2</v>
      </c>
      <c r="J63">
        <v>1</v>
      </c>
      <c r="K63">
        <f>Source!AC111</f>
        <v>4872</v>
      </c>
      <c r="M63">
        <f>ROUND(K63*I63, 2)</f>
        <v>183.19</v>
      </c>
      <c r="N63">
        <f>Source!AC111*IF(Source!BC111&lt;&gt; 0, Source!BC111, 1)</f>
        <v>68208</v>
      </c>
      <c r="O63">
        <f>ROUND(N63*I63, 2)</f>
        <v>2564.62</v>
      </c>
      <c r="P63">
        <f>Source!AE111</f>
        <v>0</v>
      </c>
      <c r="R63">
        <f>ROUND(P63*I63, 2)</f>
        <v>0</v>
      </c>
      <c r="S63">
        <f>Source!AE111*IF(Source!BS111&lt;&gt; 0, Source!BS111, 1)</f>
        <v>0</v>
      </c>
      <c r="T63">
        <f>ROUND(S63*I63, 2)</f>
        <v>0</v>
      </c>
      <c r="U63">
        <v>3</v>
      </c>
      <c r="Z63">
        <f>Source!GF111</f>
        <v>-219859504</v>
      </c>
      <c r="AA63">
        <v>379721323</v>
      </c>
      <c r="AB63">
        <v>-479384609</v>
      </c>
    </row>
    <row r="64" spans="1:28" x14ac:dyDescent="0.2">
      <c r="A64">
        <f>Source!A112</f>
        <v>17</v>
      </c>
      <c r="B64">
        <v>112</v>
      </c>
      <c r="C64">
        <v>3</v>
      </c>
      <c r="D64">
        <f>Source!BI112</f>
        <v>1</v>
      </c>
      <c r="E64">
        <f>Source!FS112</f>
        <v>0</v>
      </c>
      <c r="F64" t="str">
        <f>Source!F112</f>
        <v>101-1738</v>
      </c>
      <c r="G64" t="str">
        <f>Source!G112</f>
        <v>Профили холодногнутые из оцинкованной стали толщиной 0,6-0,65 мм, сумма размеров равная ширине исходной заготовки 101-150 мм</v>
      </c>
      <c r="H64" t="str">
        <f>Source!H112</f>
        <v>т</v>
      </c>
      <c r="I64">
        <f>Source!I112</f>
        <v>0.05</v>
      </c>
      <c r="J64">
        <v>1</v>
      </c>
      <c r="K64">
        <f>Source!AC112</f>
        <v>21476</v>
      </c>
      <c r="M64">
        <f>ROUND(K64*I64, 2)</f>
        <v>1073.8</v>
      </c>
      <c r="N64">
        <f>Source!AC112*IF(Source!BC112&lt;&gt; 0, Source!BC112, 1)</f>
        <v>137231.63999999998</v>
      </c>
      <c r="O64">
        <f>ROUND(N64*I64, 2)</f>
        <v>6861.58</v>
      </c>
      <c r="P64">
        <f>Source!AE112</f>
        <v>0</v>
      </c>
      <c r="R64">
        <f>ROUND(P64*I64, 2)</f>
        <v>0</v>
      </c>
      <c r="S64">
        <f>Source!AE112*IF(Source!BS112&lt;&gt; 0, Source!BS112, 1)</f>
        <v>0</v>
      </c>
      <c r="T64">
        <f>ROUND(S64*I64, 2)</f>
        <v>0</v>
      </c>
      <c r="U64">
        <v>3</v>
      </c>
      <c r="Z64">
        <f>Source!GF112</f>
        <v>1567809981</v>
      </c>
      <c r="AA64">
        <v>1069937195</v>
      </c>
      <c r="AB64">
        <v>1396225661</v>
      </c>
    </row>
    <row r="65" spans="1:28" x14ac:dyDescent="0.2">
      <c r="A65">
        <v>20</v>
      </c>
      <c r="B65">
        <v>131</v>
      </c>
      <c r="C65">
        <v>3</v>
      </c>
      <c r="D65">
        <v>0</v>
      </c>
      <c r="E65">
        <f>SmtRes!AV131</f>
        <v>0</v>
      </c>
      <c r="F65" t="str">
        <f>SmtRes!I131</f>
        <v>508-0097</v>
      </c>
      <c r="G65" t="str">
        <f>SmtRes!K131</f>
        <v>Канат двойной свивки типа ТК, конструкции 6х19(1+6+12)+1 о.с., оцинкованный из проволок марки В, маркировочная группа 1770 н/мм2, диаметром 5,5 мм</v>
      </c>
      <c r="H65" t="str">
        <f>SmtRes!O131</f>
        <v>10 м</v>
      </c>
      <c r="I65">
        <f>SmtRes!Y131*Source!I113</f>
        <v>4.3571000000000009E-3</v>
      </c>
      <c r="J65">
        <f>SmtRes!AO131</f>
        <v>1</v>
      </c>
      <c r="K65">
        <f>SmtRes!AE131</f>
        <v>71.5</v>
      </c>
      <c r="L65">
        <f>SmtRes!DB131</f>
        <v>1.34</v>
      </c>
      <c r="M65">
        <f>ROUND(ROUND(L65*Source!I113, 2)*1, 2)</f>
        <v>0.31</v>
      </c>
      <c r="N65">
        <f>SmtRes!AA131</f>
        <v>251.68</v>
      </c>
      <c r="O65">
        <f>ROUND(ROUND(L65*Source!I113, 2)*SmtRes!DA131, 2)</f>
        <v>1.0900000000000001</v>
      </c>
      <c r="P65">
        <f>SmtRes!AG131</f>
        <v>0</v>
      </c>
      <c r="Q65">
        <f>SmtRes!DC131</f>
        <v>0</v>
      </c>
      <c r="R65">
        <f>ROUND(ROUND(Q65*Source!I113, 2)*1, 2)</f>
        <v>0</v>
      </c>
      <c r="S65">
        <f>SmtRes!AC131</f>
        <v>0</v>
      </c>
      <c r="T65">
        <f>ROUND(ROUND(Q65*Source!I113, 2)*SmtRes!AK131, 2)</f>
        <v>0</v>
      </c>
      <c r="U65">
        <v>3</v>
      </c>
      <c r="Z65">
        <f>SmtRes!X131</f>
        <v>-802941189</v>
      </c>
      <c r="AA65">
        <v>233119458</v>
      </c>
      <c r="AB65">
        <v>682266845</v>
      </c>
    </row>
    <row r="66" spans="1:28" x14ac:dyDescent="0.2">
      <c r="A66">
        <v>20</v>
      </c>
      <c r="B66">
        <v>129</v>
      </c>
      <c r="C66">
        <v>3</v>
      </c>
      <c r="D66">
        <v>0</v>
      </c>
      <c r="E66">
        <f>SmtRes!AV129</f>
        <v>0</v>
      </c>
      <c r="F66" t="str">
        <f>SmtRes!I129</f>
        <v>201-0756</v>
      </c>
      <c r="G66" t="str">
        <f>SmtRes!K129</f>
        <v>Отдельные конструктивные элементы зданий и сооружений с преобладанием горячекатаных профилей, средняя масса сборочной единицы от 0,1 до 0,5 т</v>
      </c>
      <c r="H66" t="str">
        <f>SmtRes!O129</f>
        <v>т</v>
      </c>
      <c r="I66">
        <f>SmtRes!Y129*Source!I113</f>
        <v>6.058E-3</v>
      </c>
      <c r="J66">
        <f>SmtRes!AO129</f>
        <v>1</v>
      </c>
      <c r="K66">
        <f>SmtRes!AE129</f>
        <v>7712</v>
      </c>
      <c r="L66">
        <f>SmtRes!DB129</f>
        <v>200.51</v>
      </c>
      <c r="M66">
        <f>ROUND(ROUND(L66*Source!I113, 2)*1, 2)</f>
        <v>46.72</v>
      </c>
      <c r="N66">
        <f>SmtRes!AA129</f>
        <v>119227.52</v>
      </c>
      <c r="O66">
        <f>ROUND(ROUND(L66*Source!I113, 2)*SmtRes!DA129, 2)</f>
        <v>722.29</v>
      </c>
      <c r="P66">
        <f>SmtRes!AG129</f>
        <v>0</v>
      </c>
      <c r="Q66">
        <f>SmtRes!DC129</f>
        <v>0</v>
      </c>
      <c r="R66">
        <f>ROUND(ROUND(Q66*Source!I113, 2)*1, 2)</f>
        <v>0</v>
      </c>
      <c r="S66">
        <f>SmtRes!AC129</f>
        <v>0</v>
      </c>
      <c r="T66">
        <f>ROUND(ROUND(Q66*Source!I113, 2)*SmtRes!AK129, 2)</f>
        <v>0</v>
      </c>
      <c r="U66">
        <v>3</v>
      </c>
      <c r="Z66">
        <f>SmtRes!X129</f>
        <v>1152755346</v>
      </c>
      <c r="AA66">
        <v>-527851369</v>
      </c>
      <c r="AB66">
        <v>161394910</v>
      </c>
    </row>
    <row r="67" spans="1:28" x14ac:dyDescent="0.2">
      <c r="A67">
        <v>20</v>
      </c>
      <c r="B67">
        <v>128</v>
      </c>
      <c r="C67">
        <v>3</v>
      </c>
      <c r="D67">
        <v>0</v>
      </c>
      <c r="E67">
        <f>SmtRes!AV128</f>
        <v>0</v>
      </c>
      <c r="F67" t="str">
        <f>SmtRes!I128</f>
        <v>113-0021</v>
      </c>
      <c r="G67" t="str">
        <f>SmtRes!K128</f>
        <v>Грунтовка ГФ-021 красно-коричневая</v>
      </c>
      <c r="H67" t="str">
        <f>SmtRes!O128</f>
        <v>т</v>
      </c>
      <c r="I67">
        <f>SmtRes!Y128*Source!I113</f>
        <v>7.2230000000000005E-5</v>
      </c>
      <c r="J67">
        <f>SmtRes!AO128</f>
        <v>1</v>
      </c>
      <c r="K67">
        <f>SmtRes!AE128</f>
        <v>15620</v>
      </c>
      <c r="L67">
        <f>SmtRes!DB128</f>
        <v>4.84</v>
      </c>
      <c r="M67">
        <f>ROUND(ROUND(L67*Source!I113, 2)*1, 2)</f>
        <v>1.1299999999999999</v>
      </c>
      <c r="N67">
        <f>SmtRes!AA128</f>
        <v>80130.600000000006</v>
      </c>
      <c r="O67">
        <f>ROUND(ROUND(L67*Source!I113, 2)*SmtRes!DA128, 2)</f>
        <v>5.8</v>
      </c>
      <c r="P67">
        <f>SmtRes!AG128</f>
        <v>0</v>
      </c>
      <c r="Q67">
        <f>SmtRes!DC128</f>
        <v>0</v>
      </c>
      <c r="R67">
        <f>ROUND(ROUND(Q67*Source!I113, 2)*1, 2)</f>
        <v>0</v>
      </c>
      <c r="S67">
        <f>SmtRes!AC128</f>
        <v>0</v>
      </c>
      <c r="T67">
        <f>ROUND(ROUND(Q67*Source!I113, 2)*SmtRes!AK128, 2)</f>
        <v>0</v>
      </c>
      <c r="U67">
        <v>3</v>
      </c>
      <c r="Z67">
        <f>SmtRes!X128</f>
        <v>-763406924</v>
      </c>
      <c r="AA67">
        <v>-232389014</v>
      </c>
      <c r="AB67">
        <v>-1628321020</v>
      </c>
    </row>
    <row r="68" spans="1:28" x14ac:dyDescent="0.2">
      <c r="A68">
        <v>20</v>
      </c>
      <c r="B68">
        <v>127</v>
      </c>
      <c r="C68">
        <v>3</v>
      </c>
      <c r="D68">
        <v>0</v>
      </c>
      <c r="E68">
        <f>SmtRes!AV127</f>
        <v>0</v>
      </c>
      <c r="F68" t="str">
        <f>SmtRes!I127</f>
        <v>102-0023</v>
      </c>
      <c r="G68" t="str">
        <f>SmtRes!K127</f>
        <v>Бруски обрезные хвойных пород длиной 4-6,5 м, шириной 75-150 мм, толщиной 40-75 мм, I сорта</v>
      </c>
      <c r="H68" t="str">
        <f>SmtRes!O127</f>
        <v>м3</v>
      </c>
      <c r="I68">
        <f>SmtRes!Y127*Source!I113</f>
        <v>2.3999000000000004E-4</v>
      </c>
      <c r="J68">
        <f>SmtRes!AO127</f>
        <v>1</v>
      </c>
      <c r="K68">
        <f>SmtRes!AE127</f>
        <v>1421</v>
      </c>
      <c r="L68">
        <f>SmtRes!DB127</f>
        <v>1.46</v>
      </c>
      <c r="M68">
        <f>ROUND(ROUND(L68*Source!I113, 2)*1, 2)</f>
        <v>0.34</v>
      </c>
      <c r="N68">
        <f>SmtRes!AA127</f>
        <v>18572.47</v>
      </c>
      <c r="O68">
        <f>ROUND(ROUND(L68*Source!I113, 2)*SmtRes!DA127, 2)</f>
        <v>4.4400000000000004</v>
      </c>
      <c r="P68">
        <f>SmtRes!AG127</f>
        <v>0</v>
      </c>
      <c r="Q68">
        <f>SmtRes!DC127</f>
        <v>0</v>
      </c>
      <c r="R68">
        <f>ROUND(ROUND(Q68*Source!I113, 2)*1, 2)</f>
        <v>0</v>
      </c>
      <c r="S68">
        <f>SmtRes!AC127</f>
        <v>0</v>
      </c>
      <c r="T68">
        <f>ROUND(ROUND(Q68*Source!I113, 2)*SmtRes!AK127, 2)</f>
        <v>0</v>
      </c>
      <c r="U68">
        <v>3</v>
      </c>
      <c r="Z68">
        <f>SmtRes!X127</f>
        <v>579634616</v>
      </c>
      <c r="AA68">
        <v>-149810444</v>
      </c>
      <c r="AB68">
        <v>-1697308160</v>
      </c>
    </row>
    <row r="69" spans="1:28" x14ac:dyDescent="0.2">
      <c r="A69">
        <v>20</v>
      </c>
      <c r="B69">
        <v>126</v>
      </c>
      <c r="C69">
        <v>3</v>
      </c>
      <c r="D69">
        <v>0</v>
      </c>
      <c r="E69">
        <f>SmtRes!AV126</f>
        <v>0</v>
      </c>
      <c r="F69" t="str">
        <f>SmtRes!I126</f>
        <v>101-2467</v>
      </c>
      <c r="G69" t="str">
        <f>SmtRes!K126</f>
        <v>Растворитель марки Р-4</v>
      </c>
      <c r="H69" t="str">
        <f>SmtRes!O126</f>
        <v>т</v>
      </c>
      <c r="I69">
        <f>SmtRes!Y126*Source!I113</f>
        <v>1.3979999999999998E-4</v>
      </c>
      <c r="J69">
        <f>SmtRes!AO126</f>
        <v>1</v>
      </c>
      <c r="K69">
        <f>SmtRes!AE126</f>
        <v>9420</v>
      </c>
      <c r="L69">
        <f>SmtRes!DB126</f>
        <v>5.65</v>
      </c>
      <c r="M69">
        <f>ROUND(ROUND(L69*Source!I113, 2)*1, 2)</f>
        <v>1.32</v>
      </c>
      <c r="N69">
        <f>SmtRes!AA126</f>
        <v>72063</v>
      </c>
      <c r="O69">
        <f>ROUND(ROUND(L69*Source!I113, 2)*SmtRes!DA126, 2)</f>
        <v>10.1</v>
      </c>
      <c r="P69">
        <f>SmtRes!AG126</f>
        <v>0</v>
      </c>
      <c r="Q69">
        <f>SmtRes!DC126</f>
        <v>0</v>
      </c>
      <c r="R69">
        <f>ROUND(ROUND(Q69*Source!I113, 2)*1, 2)</f>
        <v>0</v>
      </c>
      <c r="S69">
        <f>SmtRes!AC126</f>
        <v>0</v>
      </c>
      <c r="T69">
        <f>ROUND(ROUND(Q69*Source!I113, 2)*SmtRes!AK126, 2)</f>
        <v>0</v>
      </c>
      <c r="U69">
        <v>3</v>
      </c>
      <c r="Z69">
        <f>SmtRes!X126</f>
        <v>-250432139</v>
      </c>
      <c r="AA69">
        <v>1739873944</v>
      </c>
      <c r="AB69">
        <v>1068711965</v>
      </c>
    </row>
    <row r="70" spans="1:28" x14ac:dyDescent="0.2">
      <c r="A70">
        <v>20</v>
      </c>
      <c r="B70">
        <v>125</v>
      </c>
      <c r="C70">
        <v>3</v>
      </c>
      <c r="D70">
        <v>0</v>
      </c>
      <c r="E70">
        <f>SmtRes!AV125</f>
        <v>0</v>
      </c>
      <c r="F70" t="str">
        <f>SmtRes!I125</f>
        <v>101-2278</v>
      </c>
      <c r="G70" t="str">
        <f>SmtRes!K125</f>
        <v>Пропан-бутан, смесь техническая</v>
      </c>
      <c r="H70" t="str">
        <f>SmtRes!O125</f>
        <v>кг</v>
      </c>
      <c r="I70">
        <f>SmtRes!Y125*Source!I113</f>
        <v>0.13747000000000001</v>
      </c>
      <c r="J70">
        <f>SmtRes!AO125</f>
        <v>1</v>
      </c>
      <c r="K70">
        <f>SmtRes!AE125</f>
        <v>6.62</v>
      </c>
      <c r="L70">
        <f>SmtRes!DB125</f>
        <v>3.91</v>
      </c>
      <c r="M70">
        <f>ROUND(ROUND(L70*Source!I113, 2)*1, 2)</f>
        <v>0.91</v>
      </c>
      <c r="N70">
        <f>SmtRes!AA125</f>
        <v>53.09</v>
      </c>
      <c r="O70">
        <f>ROUND(ROUND(L70*Source!I113, 2)*SmtRes!DA125, 2)</f>
        <v>7.3</v>
      </c>
      <c r="P70">
        <f>SmtRes!AG125</f>
        <v>0</v>
      </c>
      <c r="Q70">
        <f>SmtRes!DC125</f>
        <v>0</v>
      </c>
      <c r="R70">
        <f>ROUND(ROUND(Q70*Source!I113, 2)*1, 2)</f>
        <v>0</v>
      </c>
      <c r="S70">
        <f>SmtRes!AC125</f>
        <v>0</v>
      </c>
      <c r="T70">
        <f>ROUND(ROUND(Q70*Source!I113, 2)*SmtRes!AK125, 2)</f>
        <v>0</v>
      </c>
      <c r="U70">
        <v>3</v>
      </c>
      <c r="Z70">
        <f>SmtRes!X125</f>
        <v>873943321</v>
      </c>
      <c r="AA70">
        <v>-395631024</v>
      </c>
      <c r="AB70">
        <v>1803414858</v>
      </c>
    </row>
    <row r="71" spans="1:28" x14ac:dyDescent="0.2">
      <c r="A71">
        <v>20</v>
      </c>
      <c r="B71">
        <v>124</v>
      </c>
      <c r="C71">
        <v>3</v>
      </c>
      <c r="D71">
        <v>0</v>
      </c>
      <c r="E71">
        <f>SmtRes!AV124</f>
        <v>0</v>
      </c>
      <c r="F71" t="str">
        <f>SmtRes!I124</f>
        <v>101-1805</v>
      </c>
      <c r="G71" t="str">
        <f>SmtRes!K124</f>
        <v>Гвозди строительные</v>
      </c>
      <c r="H71" t="str">
        <f>SmtRes!O124</f>
        <v>т</v>
      </c>
      <c r="I71">
        <f>SmtRes!Y124*Source!I113</f>
        <v>2.3300000000000001E-6</v>
      </c>
      <c r="J71">
        <f>SmtRes!AO124</f>
        <v>1</v>
      </c>
      <c r="K71">
        <f>SmtRes!AE124</f>
        <v>12936</v>
      </c>
      <c r="L71">
        <f>SmtRes!DB124</f>
        <v>0.13</v>
      </c>
      <c r="M71">
        <f>ROUND(ROUND(L71*Source!I113, 2)*1, 2)</f>
        <v>0.03</v>
      </c>
      <c r="N71">
        <f>SmtRes!AA124</f>
        <v>111120.24</v>
      </c>
      <c r="O71">
        <f>ROUND(ROUND(L71*Source!I113, 2)*SmtRes!DA124, 2)</f>
        <v>0.26</v>
      </c>
      <c r="P71">
        <f>SmtRes!AG124</f>
        <v>0</v>
      </c>
      <c r="Q71">
        <f>SmtRes!DC124</f>
        <v>0</v>
      </c>
      <c r="R71">
        <f>ROUND(ROUND(Q71*Source!I113, 2)*1, 2)</f>
        <v>0</v>
      </c>
      <c r="S71">
        <f>SmtRes!AC124</f>
        <v>0</v>
      </c>
      <c r="T71">
        <f>ROUND(ROUND(Q71*Source!I113, 2)*SmtRes!AK124, 2)</f>
        <v>0</v>
      </c>
      <c r="U71">
        <v>3</v>
      </c>
      <c r="Z71">
        <f>SmtRes!X124</f>
        <v>-667930777</v>
      </c>
      <c r="AA71">
        <v>73813288</v>
      </c>
      <c r="AB71">
        <v>1198263553</v>
      </c>
    </row>
    <row r="72" spans="1:28" x14ac:dyDescent="0.2">
      <c r="A72">
        <v>20</v>
      </c>
      <c r="B72">
        <v>122</v>
      </c>
      <c r="C72">
        <v>3</v>
      </c>
      <c r="D72">
        <v>0</v>
      </c>
      <c r="E72">
        <f>SmtRes!AV122</f>
        <v>0</v>
      </c>
      <c r="F72" t="str">
        <f>SmtRes!I122</f>
        <v>101-1515</v>
      </c>
      <c r="G72" t="str">
        <f>SmtRes!K122</f>
        <v>Электроды диаметром 4 мм Э46</v>
      </c>
      <c r="H72" t="str">
        <f>SmtRes!O122</f>
        <v>т</v>
      </c>
      <c r="I72">
        <f>SmtRes!Y122*Source!I113</f>
        <v>5.359E-3</v>
      </c>
      <c r="J72">
        <f>SmtRes!AO122</f>
        <v>1</v>
      </c>
      <c r="K72">
        <f>SmtRes!AE122</f>
        <v>10170</v>
      </c>
      <c r="L72">
        <f>SmtRes!DB122</f>
        <v>233.91</v>
      </c>
      <c r="M72">
        <f>ROUND(ROUND(L72*Source!I113, 2)*1, 2)</f>
        <v>54.5</v>
      </c>
      <c r="N72">
        <f>SmtRes!AA122</f>
        <v>123870.6</v>
      </c>
      <c r="O72">
        <f>ROUND(ROUND(L72*Source!I113, 2)*SmtRes!DA122, 2)</f>
        <v>663.81</v>
      </c>
      <c r="P72">
        <f>SmtRes!AG122</f>
        <v>0</v>
      </c>
      <c r="Q72">
        <f>SmtRes!DC122</f>
        <v>0</v>
      </c>
      <c r="R72">
        <f>ROUND(ROUND(Q72*Source!I113, 2)*1, 2)</f>
        <v>0</v>
      </c>
      <c r="S72">
        <f>SmtRes!AC122</f>
        <v>0</v>
      </c>
      <c r="T72">
        <f>ROUND(ROUND(Q72*Source!I113, 2)*SmtRes!AK122, 2)</f>
        <v>0</v>
      </c>
      <c r="U72">
        <v>3</v>
      </c>
      <c r="Z72">
        <f>SmtRes!X122</f>
        <v>1476164246</v>
      </c>
      <c r="AA72">
        <v>-43226637</v>
      </c>
      <c r="AB72">
        <v>-1783670211</v>
      </c>
    </row>
    <row r="73" spans="1:28" x14ac:dyDescent="0.2">
      <c r="A73">
        <v>20</v>
      </c>
      <c r="B73">
        <v>121</v>
      </c>
      <c r="C73">
        <v>3</v>
      </c>
      <c r="D73">
        <v>0</v>
      </c>
      <c r="E73">
        <f>SmtRes!AV121</f>
        <v>0</v>
      </c>
      <c r="F73" t="str">
        <f>SmtRes!I121</f>
        <v>101-1019</v>
      </c>
      <c r="G73" t="str">
        <f>SmtRes!K121</f>
        <v>Швеллеры № 40 из стали марки Ст0</v>
      </c>
      <c r="H73" t="str">
        <f>SmtRes!O121</f>
        <v>т</v>
      </c>
      <c r="I73">
        <f>SmtRes!Y121*Source!I113</f>
        <v>4.5202000000000003E-4</v>
      </c>
      <c r="J73">
        <f>SmtRes!AO121</f>
        <v>1</v>
      </c>
      <c r="K73">
        <f>SmtRes!AE121</f>
        <v>5191</v>
      </c>
      <c r="L73">
        <f>SmtRes!DB121</f>
        <v>10.07</v>
      </c>
      <c r="M73">
        <f>ROUND(ROUND(L73*Source!I113, 2)*1, 2)</f>
        <v>2.35</v>
      </c>
      <c r="N73">
        <f>SmtRes!AA121</f>
        <v>72674</v>
      </c>
      <c r="O73">
        <f>ROUND(ROUND(L73*Source!I113, 2)*SmtRes!DA121, 2)</f>
        <v>32.9</v>
      </c>
      <c r="P73">
        <f>SmtRes!AG121</f>
        <v>0</v>
      </c>
      <c r="Q73">
        <f>SmtRes!DC121</f>
        <v>0</v>
      </c>
      <c r="R73">
        <f>ROUND(ROUND(Q73*Source!I113, 2)*1, 2)</f>
        <v>0</v>
      </c>
      <c r="S73">
        <f>SmtRes!AC121</f>
        <v>0</v>
      </c>
      <c r="T73">
        <f>ROUND(ROUND(Q73*Source!I113, 2)*SmtRes!AK121, 2)</f>
        <v>0</v>
      </c>
      <c r="U73">
        <v>3</v>
      </c>
      <c r="Z73">
        <f>SmtRes!X121</f>
        <v>-833443196</v>
      </c>
      <c r="AA73">
        <v>478577553</v>
      </c>
      <c r="AB73">
        <v>-376595282</v>
      </c>
    </row>
    <row r="74" spans="1:28" x14ac:dyDescent="0.2">
      <c r="A74">
        <v>20</v>
      </c>
      <c r="B74">
        <v>120</v>
      </c>
      <c r="C74">
        <v>3</v>
      </c>
      <c r="D74">
        <v>0</v>
      </c>
      <c r="E74">
        <f>SmtRes!AV120</f>
        <v>0</v>
      </c>
      <c r="F74" t="str">
        <f>SmtRes!I120</f>
        <v>101-0797</v>
      </c>
      <c r="G74" t="str">
        <f>SmtRes!K120</f>
        <v>Проволока горячекатаная в мотках, диаметром 6,3-6,5 мм</v>
      </c>
      <c r="H74" t="str">
        <f>SmtRes!O120</f>
        <v>т</v>
      </c>
      <c r="I74">
        <f>SmtRes!Y120*Source!I113</f>
        <v>6.9900000000000008E-6</v>
      </c>
      <c r="J74">
        <f>SmtRes!AO120</f>
        <v>1</v>
      </c>
      <c r="K74">
        <f>SmtRes!AE120</f>
        <v>4455</v>
      </c>
      <c r="L74">
        <f>SmtRes!DB120</f>
        <v>0.13</v>
      </c>
      <c r="M74">
        <f>ROUND(ROUND(L74*Source!I113, 2)*1, 2)</f>
        <v>0.03</v>
      </c>
      <c r="N74">
        <f>SmtRes!AA120</f>
        <v>31452.3</v>
      </c>
      <c r="O74">
        <f>ROUND(ROUND(L74*Source!I113, 2)*SmtRes!DA120, 2)</f>
        <v>0.21</v>
      </c>
      <c r="P74">
        <f>SmtRes!AG120</f>
        <v>0</v>
      </c>
      <c r="Q74">
        <f>SmtRes!DC120</f>
        <v>0</v>
      </c>
      <c r="R74">
        <f>ROUND(ROUND(Q74*Source!I113, 2)*1, 2)</f>
        <v>0</v>
      </c>
      <c r="S74">
        <f>SmtRes!AC120</f>
        <v>0</v>
      </c>
      <c r="T74">
        <f>ROUND(ROUND(Q74*Source!I113, 2)*SmtRes!AK120, 2)</f>
        <v>0</v>
      </c>
      <c r="U74">
        <v>3</v>
      </c>
      <c r="Z74">
        <f>SmtRes!X120</f>
        <v>1941264678</v>
      </c>
      <c r="AA74">
        <v>376479924</v>
      </c>
      <c r="AB74">
        <v>-456759606</v>
      </c>
    </row>
    <row r="75" spans="1:28" x14ac:dyDescent="0.2">
      <c r="A75">
        <v>20</v>
      </c>
      <c r="B75">
        <v>119</v>
      </c>
      <c r="C75">
        <v>3</v>
      </c>
      <c r="D75">
        <v>0</v>
      </c>
      <c r="E75">
        <f>SmtRes!AV119</f>
        <v>0</v>
      </c>
      <c r="F75" t="str">
        <f>SmtRes!I119</f>
        <v>101-0324</v>
      </c>
      <c r="G75" t="str">
        <f>SmtRes!K119</f>
        <v>Кислород технический газообразный</v>
      </c>
      <c r="H75" t="str">
        <f>SmtRes!O119</f>
        <v>м3</v>
      </c>
      <c r="I75">
        <f>SmtRes!Y119*Source!I113</f>
        <v>0.45435000000000003</v>
      </c>
      <c r="J75">
        <f>SmtRes!AO119</f>
        <v>1</v>
      </c>
      <c r="K75">
        <f>SmtRes!AE119</f>
        <v>6.22</v>
      </c>
      <c r="L75">
        <f>SmtRes!DB119</f>
        <v>12.13</v>
      </c>
      <c r="M75">
        <f>ROUND(ROUND(L75*Source!I113, 2)*1, 2)</f>
        <v>2.83</v>
      </c>
      <c r="N75">
        <f>SmtRes!AA119</f>
        <v>118.62</v>
      </c>
      <c r="O75">
        <f>ROUND(ROUND(L75*Source!I113, 2)*SmtRes!DA119, 2)</f>
        <v>53.97</v>
      </c>
      <c r="P75">
        <f>SmtRes!AG119</f>
        <v>0</v>
      </c>
      <c r="Q75">
        <f>SmtRes!DC119</f>
        <v>0</v>
      </c>
      <c r="R75">
        <f>ROUND(ROUND(Q75*Source!I113, 2)*1, 2)</f>
        <v>0</v>
      </c>
      <c r="S75">
        <f>SmtRes!AC119</f>
        <v>0</v>
      </c>
      <c r="T75">
        <f>ROUND(ROUND(Q75*Source!I113, 2)*SmtRes!AK119, 2)</f>
        <v>0</v>
      </c>
      <c r="U75">
        <v>3</v>
      </c>
      <c r="Z75">
        <f>SmtRes!X119</f>
        <v>-821751618</v>
      </c>
      <c r="AA75">
        <v>2128337316</v>
      </c>
      <c r="AB75">
        <v>-1112411388</v>
      </c>
    </row>
    <row r="76" spans="1:28" x14ac:dyDescent="0.2">
      <c r="A76">
        <v>20</v>
      </c>
      <c r="B76">
        <v>118</v>
      </c>
      <c r="C76">
        <v>3</v>
      </c>
      <c r="D76">
        <v>0</v>
      </c>
      <c r="E76">
        <f>SmtRes!AV118</f>
        <v>0</v>
      </c>
      <c r="F76" t="str">
        <f>SmtRes!I118</f>
        <v>101-0309</v>
      </c>
      <c r="G76" t="str">
        <f>SmtRes!K118</f>
        <v>Канаты пеньковые пропитанные</v>
      </c>
      <c r="H76" t="str">
        <f>SmtRes!O118</f>
        <v>т</v>
      </c>
      <c r="I76">
        <f>SmtRes!Y118*Source!I113</f>
        <v>2.3300000000000004E-5</v>
      </c>
      <c r="J76">
        <f>SmtRes!AO118</f>
        <v>1</v>
      </c>
      <c r="K76">
        <f>SmtRes!AE118</f>
        <v>37900</v>
      </c>
      <c r="L76">
        <f>SmtRes!DB118</f>
        <v>3.79</v>
      </c>
      <c r="M76">
        <f>ROUND(ROUND(L76*Source!I113, 2)*1, 2)</f>
        <v>0.88</v>
      </c>
      <c r="N76">
        <f>SmtRes!AA118</f>
        <v>231948</v>
      </c>
      <c r="O76">
        <f>ROUND(ROUND(L76*Source!I113, 2)*SmtRes!DA118, 2)</f>
        <v>5.39</v>
      </c>
      <c r="P76">
        <f>SmtRes!AG118</f>
        <v>0</v>
      </c>
      <c r="Q76">
        <f>SmtRes!DC118</f>
        <v>0</v>
      </c>
      <c r="R76">
        <f>ROUND(ROUND(Q76*Source!I113, 2)*1, 2)</f>
        <v>0</v>
      </c>
      <c r="S76">
        <f>SmtRes!AC118</f>
        <v>0</v>
      </c>
      <c r="T76">
        <f>ROUND(ROUND(Q76*Source!I113, 2)*SmtRes!AK118, 2)</f>
        <v>0</v>
      </c>
      <c r="U76">
        <v>3</v>
      </c>
      <c r="Z76">
        <f>SmtRes!X118</f>
        <v>-1280064888</v>
      </c>
      <c r="AA76">
        <v>-863405888</v>
      </c>
      <c r="AB76">
        <v>1686556190</v>
      </c>
    </row>
    <row r="77" spans="1:28" x14ac:dyDescent="0.2">
      <c r="A77">
        <v>20</v>
      </c>
      <c r="B77">
        <v>117</v>
      </c>
      <c r="C77">
        <v>2</v>
      </c>
      <c r="D77">
        <v>0</v>
      </c>
      <c r="E77">
        <f>SmtRes!AV117</f>
        <v>0</v>
      </c>
      <c r="F77" t="str">
        <f>SmtRes!I117</f>
        <v>400001</v>
      </c>
      <c r="G77" t="str">
        <f>SmtRes!K117</f>
        <v>Автомобили бортовые, грузоподъемность до 5 т</v>
      </c>
      <c r="H77" t="str">
        <f>SmtRes!O117</f>
        <v>маш.-ч</v>
      </c>
      <c r="I77">
        <f>SmtRes!Y117*Source!I113</f>
        <v>4.4270000000000004E-2</v>
      </c>
      <c r="J77">
        <f>SmtRes!AO117</f>
        <v>1</v>
      </c>
      <c r="K77">
        <f>SmtRes!AF117</f>
        <v>91.76</v>
      </c>
      <c r="L77">
        <f>SmtRes!DB117</f>
        <v>17.43</v>
      </c>
      <c r="M77">
        <f>ROUND(ROUND(L77*Source!I113, 2)*1, 2)</f>
        <v>4.0599999999999996</v>
      </c>
      <c r="N77">
        <f>SmtRes!AB117</f>
        <v>1305.74</v>
      </c>
      <c r="O77">
        <f>ROUND(ROUND(L77*Source!I113, 2)*SmtRes!DA117, 2)</f>
        <v>57.77</v>
      </c>
      <c r="P77">
        <f>SmtRes!AG117</f>
        <v>10.35</v>
      </c>
      <c r="Q77">
        <f>SmtRes!DC117</f>
        <v>1.97</v>
      </c>
      <c r="R77">
        <f>ROUND(ROUND(Q77*Source!I113, 2)*1, 2)</f>
        <v>0.46</v>
      </c>
      <c r="S77">
        <f>SmtRes!AC117</f>
        <v>365.04</v>
      </c>
      <c r="T77">
        <f>ROUND(ROUND(Q77*Source!I113, 2)*SmtRes!AK117, 2)</f>
        <v>16.22</v>
      </c>
      <c r="U77">
        <v>2</v>
      </c>
      <c r="Z77">
        <f>SmtRes!X117</f>
        <v>-671646184</v>
      </c>
      <c r="AA77">
        <v>807713937</v>
      </c>
      <c r="AB77">
        <v>1619992053</v>
      </c>
    </row>
    <row r="78" spans="1:28" x14ac:dyDescent="0.2">
      <c r="A78">
        <v>20</v>
      </c>
      <c r="B78">
        <v>116</v>
      </c>
      <c r="C78">
        <v>2</v>
      </c>
      <c r="D78">
        <v>0</v>
      </c>
      <c r="E78">
        <f>SmtRes!AV116</f>
        <v>0</v>
      </c>
      <c r="F78" t="str">
        <f>SmtRes!I116</f>
        <v>330301</v>
      </c>
      <c r="G78" t="str">
        <f>SmtRes!K116</f>
        <v>Машины шлифовальные электрические</v>
      </c>
      <c r="H78" t="str">
        <f>SmtRes!O116</f>
        <v>маш.-ч</v>
      </c>
      <c r="I78">
        <f>SmtRes!Y116*Source!I113</f>
        <v>3.9610000000000006E-2</v>
      </c>
      <c r="J78">
        <f>SmtRes!AO116</f>
        <v>1</v>
      </c>
      <c r="K78">
        <f>SmtRes!AF116</f>
        <v>5.4</v>
      </c>
      <c r="L78">
        <f>SmtRes!DB116</f>
        <v>0.92</v>
      </c>
      <c r="M78">
        <f>ROUND(ROUND(L78*Source!I113, 2)*1, 2)</f>
        <v>0.21</v>
      </c>
      <c r="N78">
        <f>SmtRes!AB116</f>
        <v>25.97</v>
      </c>
      <c r="O78">
        <f>ROUND(ROUND(L78*Source!I113, 2)*SmtRes!DA116, 2)</f>
        <v>1.01</v>
      </c>
      <c r="P78">
        <f>SmtRes!AG116</f>
        <v>0</v>
      </c>
      <c r="Q78">
        <f>SmtRes!DC116</f>
        <v>0</v>
      </c>
      <c r="R78">
        <f>ROUND(ROUND(Q78*Source!I113, 2)*1, 2)</f>
        <v>0</v>
      </c>
      <c r="S78">
        <f>SmtRes!AC116</f>
        <v>0</v>
      </c>
      <c r="T78">
        <f>ROUND(ROUND(Q78*Source!I113, 2)*SmtRes!AK116, 2)</f>
        <v>0</v>
      </c>
      <c r="U78">
        <v>2</v>
      </c>
      <c r="Z78">
        <f>SmtRes!X116</f>
        <v>254649463</v>
      </c>
      <c r="AA78">
        <v>-2053689630</v>
      </c>
      <c r="AB78">
        <v>-637050274</v>
      </c>
    </row>
    <row r="79" spans="1:28" x14ac:dyDescent="0.2">
      <c r="A79">
        <v>20</v>
      </c>
      <c r="B79">
        <v>115</v>
      </c>
      <c r="C79">
        <v>2</v>
      </c>
      <c r="D79">
        <v>0</v>
      </c>
      <c r="E79">
        <f>SmtRes!AV115</f>
        <v>0</v>
      </c>
      <c r="F79" t="str">
        <f>SmtRes!I115</f>
        <v>330206</v>
      </c>
      <c r="G79" t="str">
        <f>SmtRes!K115</f>
        <v>Дрели электрические</v>
      </c>
      <c r="H79" t="str">
        <f>SmtRes!O115</f>
        <v>маш.-ч</v>
      </c>
      <c r="I79">
        <f>SmtRes!Y115*Source!I113</f>
        <v>4.1939999999999998E-2</v>
      </c>
      <c r="J79">
        <f>SmtRes!AO115</f>
        <v>1</v>
      </c>
      <c r="K79">
        <f>SmtRes!AF115</f>
        <v>2.15</v>
      </c>
      <c r="L79">
        <f>SmtRes!DB115</f>
        <v>0.39</v>
      </c>
      <c r="M79">
        <f>ROUND(ROUND(L79*Source!I113, 2)*1, 2)</f>
        <v>0.09</v>
      </c>
      <c r="N79">
        <f>SmtRes!AB115</f>
        <v>12.13</v>
      </c>
      <c r="O79">
        <f>ROUND(ROUND(L79*Source!I113, 2)*SmtRes!DA115, 2)</f>
        <v>0.51</v>
      </c>
      <c r="P79">
        <f>SmtRes!AG115</f>
        <v>0</v>
      </c>
      <c r="Q79">
        <f>SmtRes!DC115</f>
        <v>0</v>
      </c>
      <c r="R79">
        <f>ROUND(ROUND(Q79*Source!I113, 2)*1, 2)</f>
        <v>0</v>
      </c>
      <c r="S79">
        <f>SmtRes!AC115</f>
        <v>0</v>
      </c>
      <c r="T79">
        <f>ROUND(ROUND(Q79*Source!I113, 2)*SmtRes!AK115, 2)</f>
        <v>0</v>
      </c>
      <c r="U79">
        <v>2</v>
      </c>
      <c r="Z79">
        <f>SmtRes!X115</f>
        <v>835824343</v>
      </c>
      <c r="AA79">
        <v>-508374777</v>
      </c>
      <c r="AB79">
        <v>70027163</v>
      </c>
    </row>
    <row r="80" spans="1:28" x14ac:dyDescent="0.2">
      <c r="A80">
        <v>20</v>
      </c>
      <c r="B80">
        <v>114</v>
      </c>
      <c r="C80">
        <v>2</v>
      </c>
      <c r="D80">
        <v>0</v>
      </c>
      <c r="E80">
        <f>SmtRes!AV114</f>
        <v>0</v>
      </c>
      <c r="F80" t="str">
        <f>SmtRes!I114</f>
        <v>041400</v>
      </c>
      <c r="G80" t="str">
        <f>SmtRes!K114</f>
        <v>Электрические печи для сушки сварочных материалов с регулированием температуры в пределах от 80 °С до 500 °С</v>
      </c>
      <c r="H80" t="str">
        <f>SmtRes!O114</f>
        <v>маш.-ч</v>
      </c>
      <c r="I80">
        <f>SmtRes!Y114*Source!I113</f>
        <v>0.46832999999999997</v>
      </c>
      <c r="J80">
        <f>SmtRes!AO114</f>
        <v>1</v>
      </c>
      <c r="K80">
        <f>SmtRes!AF114</f>
        <v>6.4</v>
      </c>
      <c r="L80">
        <f>SmtRes!DB114</f>
        <v>12.86</v>
      </c>
      <c r="M80">
        <f>ROUND(ROUND(L80*Source!I113, 2)*1, 2)</f>
        <v>3</v>
      </c>
      <c r="N80">
        <f>SmtRes!AB114</f>
        <v>74.94</v>
      </c>
      <c r="O80">
        <f>ROUND(ROUND(L80*Source!I113, 2)*SmtRes!DA114, 2)</f>
        <v>35.130000000000003</v>
      </c>
      <c r="P80">
        <f>SmtRes!AG114</f>
        <v>0</v>
      </c>
      <c r="Q80">
        <f>SmtRes!DC114</f>
        <v>0</v>
      </c>
      <c r="R80">
        <f>ROUND(ROUND(Q80*Source!I113, 2)*1, 2)</f>
        <v>0</v>
      </c>
      <c r="S80">
        <f>SmtRes!AC114</f>
        <v>0</v>
      </c>
      <c r="T80">
        <f>ROUND(ROUND(Q80*Source!I113, 2)*SmtRes!AK114, 2)</f>
        <v>0</v>
      </c>
      <c r="U80">
        <v>2</v>
      </c>
      <c r="Z80">
        <f>SmtRes!X114</f>
        <v>1535524603</v>
      </c>
      <c r="AA80">
        <v>1147415382</v>
      </c>
      <c r="AB80">
        <v>-1084734523</v>
      </c>
    </row>
    <row r="81" spans="1:28" x14ac:dyDescent="0.2">
      <c r="A81">
        <v>20</v>
      </c>
      <c r="B81">
        <v>113</v>
      </c>
      <c r="C81">
        <v>2</v>
      </c>
      <c r="D81">
        <v>0</v>
      </c>
      <c r="E81">
        <f>SmtRes!AV113</f>
        <v>0</v>
      </c>
      <c r="F81" t="str">
        <f>SmtRes!I113</f>
        <v>041000</v>
      </c>
      <c r="G81" t="str">
        <f>SmtRes!K113</f>
        <v>Преобразователи сварочные с номинальным сварочным током 315-500 А</v>
      </c>
      <c r="H81" t="str">
        <f>SmtRes!O113</f>
        <v>маш.-ч</v>
      </c>
      <c r="I81">
        <f>SmtRes!Y113*Source!I113</f>
        <v>3.4973300000000003</v>
      </c>
      <c r="J81">
        <f>SmtRes!AO113</f>
        <v>1</v>
      </c>
      <c r="K81">
        <f>SmtRes!AF113</f>
        <v>9.6999999999999993</v>
      </c>
      <c r="L81">
        <f>SmtRes!DB113</f>
        <v>145.6</v>
      </c>
      <c r="M81">
        <f>ROUND(ROUND(L81*Source!I113, 2)*1, 2)</f>
        <v>33.92</v>
      </c>
      <c r="N81">
        <f>SmtRes!AB113</f>
        <v>116.79</v>
      </c>
      <c r="O81">
        <f>ROUND(ROUND(L81*Source!I113, 2)*SmtRes!DA113, 2)</f>
        <v>408.4</v>
      </c>
      <c r="P81">
        <f>SmtRes!AG113</f>
        <v>0</v>
      </c>
      <c r="Q81">
        <f>SmtRes!DC113</f>
        <v>0</v>
      </c>
      <c r="R81">
        <f>ROUND(ROUND(Q81*Source!I113, 2)*1, 2)</f>
        <v>0</v>
      </c>
      <c r="S81">
        <f>SmtRes!AC113</f>
        <v>0</v>
      </c>
      <c r="T81">
        <f>ROUND(ROUND(Q81*Source!I113, 2)*SmtRes!AK113, 2)</f>
        <v>0</v>
      </c>
      <c r="U81">
        <v>2</v>
      </c>
      <c r="Z81">
        <f>SmtRes!X113</f>
        <v>1565869296</v>
      </c>
      <c r="AA81">
        <v>-932489371</v>
      </c>
      <c r="AB81">
        <v>642182244</v>
      </c>
    </row>
    <row r="82" spans="1:28" x14ac:dyDescent="0.2">
      <c r="A82">
        <v>20</v>
      </c>
      <c r="B82">
        <v>112</v>
      </c>
      <c r="C82">
        <v>2</v>
      </c>
      <c r="D82">
        <v>0</v>
      </c>
      <c r="E82">
        <f>SmtRes!AV112</f>
        <v>0</v>
      </c>
      <c r="F82" t="str">
        <f>SmtRes!I112</f>
        <v>040504</v>
      </c>
      <c r="G82" t="str">
        <f>SmtRes!K112</f>
        <v>Аппарат для газовой сварки и резки</v>
      </c>
      <c r="H82" t="str">
        <f>SmtRes!O112</f>
        <v>маш.-ч</v>
      </c>
      <c r="I82">
        <f>SmtRes!Y112*Source!I113</f>
        <v>0.52192000000000005</v>
      </c>
      <c r="J82">
        <f>SmtRes!AO112</f>
        <v>1</v>
      </c>
      <c r="K82">
        <f>SmtRes!AF112</f>
        <v>1.43</v>
      </c>
      <c r="L82">
        <f>SmtRes!DB112</f>
        <v>3.2</v>
      </c>
      <c r="M82">
        <f>ROUND(ROUND(L82*Source!I113, 2)*1, 2)</f>
        <v>0.75</v>
      </c>
      <c r="N82">
        <f>SmtRes!AB112</f>
        <v>9.35</v>
      </c>
      <c r="O82">
        <f>ROUND(ROUND(L82*Source!I113, 2)*SmtRes!DA112, 2)</f>
        <v>4.91</v>
      </c>
      <c r="P82">
        <f>SmtRes!AG112</f>
        <v>0</v>
      </c>
      <c r="Q82">
        <f>SmtRes!DC112</f>
        <v>0</v>
      </c>
      <c r="R82">
        <f>ROUND(ROUND(Q82*Source!I113, 2)*1, 2)</f>
        <v>0</v>
      </c>
      <c r="S82">
        <f>SmtRes!AC112</f>
        <v>0</v>
      </c>
      <c r="T82">
        <f>ROUND(ROUND(Q82*Source!I113, 2)*SmtRes!AK112, 2)</f>
        <v>0</v>
      </c>
      <c r="U82">
        <v>2</v>
      </c>
      <c r="Z82">
        <f>SmtRes!X112</f>
        <v>4083802</v>
      </c>
      <c r="AA82">
        <v>-1138127538</v>
      </c>
      <c r="AB82">
        <v>1695468324</v>
      </c>
    </row>
    <row r="83" spans="1:28" x14ac:dyDescent="0.2">
      <c r="A83">
        <v>20</v>
      </c>
      <c r="B83">
        <v>111</v>
      </c>
      <c r="C83">
        <v>2</v>
      </c>
      <c r="D83">
        <v>0</v>
      </c>
      <c r="E83">
        <f>SmtRes!AV111</f>
        <v>0</v>
      </c>
      <c r="F83" t="str">
        <f>SmtRes!I111</f>
        <v>030404</v>
      </c>
      <c r="G83" t="str">
        <f>SmtRes!K111</f>
        <v>Лебедки электрические тяговым усилием до 31,39 кН (3,2 т)</v>
      </c>
      <c r="H83" t="str">
        <f>SmtRes!O111</f>
        <v>маш.-ч</v>
      </c>
      <c r="I83">
        <f>SmtRes!Y111*Source!I113</f>
        <v>2.0969999999999999E-2</v>
      </c>
      <c r="J83">
        <f>SmtRes!AO111</f>
        <v>1</v>
      </c>
      <c r="K83">
        <f>SmtRes!AF111</f>
        <v>7.11</v>
      </c>
      <c r="L83">
        <f>SmtRes!DB111</f>
        <v>0.64</v>
      </c>
      <c r="M83">
        <f>ROUND(ROUND(L83*Source!I113, 2)*1, 2)</f>
        <v>0.15</v>
      </c>
      <c r="N83">
        <f>SmtRes!AB111</f>
        <v>37.19</v>
      </c>
      <c r="O83">
        <f>ROUND(ROUND(L83*Source!I113, 2)*SmtRes!DA111, 2)</f>
        <v>0.78</v>
      </c>
      <c r="P83">
        <f>SmtRes!AG111</f>
        <v>0</v>
      </c>
      <c r="Q83">
        <f>SmtRes!DC111</f>
        <v>0</v>
      </c>
      <c r="R83">
        <f>ROUND(ROUND(Q83*Source!I113, 2)*1, 2)</f>
        <v>0</v>
      </c>
      <c r="S83">
        <f>SmtRes!AC111</f>
        <v>0</v>
      </c>
      <c r="T83">
        <f>ROUND(ROUND(Q83*Source!I113, 2)*SmtRes!AK111, 2)</f>
        <v>0</v>
      </c>
      <c r="U83">
        <v>2</v>
      </c>
      <c r="Z83">
        <f>SmtRes!X111</f>
        <v>-892985829</v>
      </c>
      <c r="AA83">
        <v>-1782467672</v>
      </c>
      <c r="AB83">
        <v>1774129091</v>
      </c>
    </row>
    <row r="84" spans="1:28" x14ac:dyDescent="0.2">
      <c r="A84">
        <v>20</v>
      </c>
      <c r="B84">
        <v>110</v>
      </c>
      <c r="C84">
        <v>2</v>
      </c>
      <c r="D84">
        <v>0</v>
      </c>
      <c r="E84">
        <f>SmtRes!AV110</f>
        <v>0</v>
      </c>
      <c r="F84" t="str">
        <f>SmtRes!I110</f>
        <v>030401</v>
      </c>
      <c r="G84" t="str">
        <f>SmtRes!K110</f>
        <v>Лебедки электрические тяговым усилием до 5,79 кН (0,59 т)</v>
      </c>
      <c r="H84" t="str">
        <f>SmtRes!O110</f>
        <v>маш.-ч</v>
      </c>
      <c r="I84">
        <f>SmtRes!Y110*Source!I113</f>
        <v>7.9220000000000013E-2</v>
      </c>
      <c r="J84">
        <f>SmtRes!AO110</f>
        <v>1</v>
      </c>
      <c r="K84">
        <f>SmtRes!AF110</f>
        <v>1.85</v>
      </c>
      <c r="L84">
        <f>SmtRes!DB110</f>
        <v>0.63</v>
      </c>
      <c r="M84">
        <f>ROUND(ROUND(L84*Source!I113, 2)*1, 2)</f>
        <v>0.15</v>
      </c>
      <c r="N84">
        <f>SmtRes!AB110</f>
        <v>9.6199999999999992</v>
      </c>
      <c r="O84">
        <f>ROUND(ROUND(L84*Source!I113, 2)*SmtRes!DA110, 2)</f>
        <v>0.78</v>
      </c>
      <c r="P84">
        <f>SmtRes!AG110</f>
        <v>0</v>
      </c>
      <c r="Q84">
        <f>SmtRes!DC110</f>
        <v>0</v>
      </c>
      <c r="R84">
        <f>ROUND(ROUND(Q84*Source!I113, 2)*1, 2)</f>
        <v>0</v>
      </c>
      <c r="S84">
        <f>SmtRes!AC110</f>
        <v>0</v>
      </c>
      <c r="T84">
        <f>ROUND(ROUND(Q84*Source!I113, 2)*SmtRes!AK110, 2)</f>
        <v>0</v>
      </c>
      <c r="U84">
        <v>2</v>
      </c>
      <c r="Z84">
        <f>SmtRes!X110</f>
        <v>-946971640</v>
      </c>
      <c r="AA84">
        <v>1865587851</v>
      </c>
      <c r="AB84">
        <v>1773686854</v>
      </c>
    </row>
    <row r="85" spans="1:28" x14ac:dyDescent="0.2">
      <c r="A85">
        <v>20</v>
      </c>
      <c r="B85">
        <v>109</v>
      </c>
      <c r="C85">
        <v>2</v>
      </c>
      <c r="D85">
        <v>0</v>
      </c>
      <c r="E85">
        <f>SmtRes!AV109</f>
        <v>0</v>
      </c>
      <c r="F85" t="str">
        <f>SmtRes!I109</f>
        <v>030203</v>
      </c>
      <c r="G85" t="str">
        <f>SmtRes!K109</f>
        <v>Домкраты гидравлические грузоподъемностью 63-100 т</v>
      </c>
      <c r="H85" t="str">
        <f>SmtRes!O109</f>
        <v>маш.-ч</v>
      </c>
      <c r="I85">
        <f>SmtRes!Y109*Source!I113</f>
        <v>2.3300000000000001E-2</v>
      </c>
      <c r="J85">
        <f>SmtRes!AO109</f>
        <v>1</v>
      </c>
      <c r="K85">
        <f>SmtRes!AF109</f>
        <v>1.52</v>
      </c>
      <c r="L85">
        <f>SmtRes!DB109</f>
        <v>0.15</v>
      </c>
      <c r="M85">
        <f>ROUND(ROUND(L85*Source!I113, 2)*1, 2)</f>
        <v>0.03</v>
      </c>
      <c r="N85">
        <f>SmtRes!AB109</f>
        <v>8.09</v>
      </c>
      <c r="O85">
        <f>ROUND(ROUND(L85*Source!I113, 2)*SmtRes!DA109, 2)</f>
        <v>0.16</v>
      </c>
      <c r="P85">
        <f>SmtRes!AG109</f>
        <v>0</v>
      </c>
      <c r="Q85">
        <f>SmtRes!DC109</f>
        <v>0</v>
      </c>
      <c r="R85">
        <f>ROUND(ROUND(Q85*Source!I113, 2)*1, 2)</f>
        <v>0</v>
      </c>
      <c r="S85">
        <f>SmtRes!AC109</f>
        <v>0</v>
      </c>
      <c r="T85">
        <f>ROUND(ROUND(Q85*Source!I113, 2)*SmtRes!AK109, 2)</f>
        <v>0</v>
      </c>
      <c r="U85">
        <v>2</v>
      </c>
      <c r="Z85">
        <f>SmtRes!X109</f>
        <v>11972859</v>
      </c>
      <c r="AA85">
        <v>-1956597062</v>
      </c>
      <c r="AB85">
        <v>-1264283530</v>
      </c>
    </row>
    <row r="86" spans="1:28" x14ac:dyDescent="0.2">
      <c r="A86">
        <v>20</v>
      </c>
      <c r="B86">
        <v>108</v>
      </c>
      <c r="C86">
        <v>2</v>
      </c>
      <c r="D86">
        <v>0</v>
      </c>
      <c r="E86">
        <f>SmtRes!AV108</f>
        <v>0</v>
      </c>
      <c r="F86" t="str">
        <f>SmtRes!I108</f>
        <v>021247</v>
      </c>
      <c r="G86" t="str">
        <f>SmtRes!K108</f>
        <v>Краны на гусеничном ходу при работе на других видах строительства 100 т</v>
      </c>
      <c r="H86" t="str">
        <f>SmtRes!O108</f>
        <v>маш.-ч</v>
      </c>
      <c r="I86">
        <f>SmtRes!Y108*Source!I113</f>
        <v>0.9483100000000001</v>
      </c>
      <c r="J86">
        <f>SmtRes!AO108</f>
        <v>1</v>
      </c>
      <c r="K86">
        <f>SmtRes!AF108</f>
        <v>576.84</v>
      </c>
      <c r="L86">
        <f>SmtRes!DB108</f>
        <v>2347.7399999999998</v>
      </c>
      <c r="M86">
        <f>ROUND(ROUND(L86*Source!I113, 2)*1, 2)</f>
        <v>547.02</v>
      </c>
      <c r="N86">
        <f>SmtRes!AB108</f>
        <v>5549.2</v>
      </c>
      <c r="O86">
        <f>ROUND(ROUND(L86*Source!I113, 2)*SmtRes!DA108, 2)</f>
        <v>5262.33</v>
      </c>
      <c r="P86">
        <f>SmtRes!AG108</f>
        <v>25</v>
      </c>
      <c r="Q86">
        <f>SmtRes!DC108</f>
        <v>101.75</v>
      </c>
      <c r="R86">
        <f>ROUND(ROUND(Q86*Source!I113, 2)*1, 2)</f>
        <v>23.71</v>
      </c>
      <c r="S86">
        <f>SmtRes!AC108</f>
        <v>881.75</v>
      </c>
      <c r="T86">
        <f>ROUND(ROUND(Q86*Source!I113, 2)*SmtRes!AK108, 2)</f>
        <v>836.25</v>
      </c>
      <c r="U86">
        <v>2</v>
      </c>
      <c r="Z86">
        <f>SmtRes!X108</f>
        <v>-1849766466</v>
      </c>
      <c r="AA86">
        <v>-2030225336</v>
      </c>
      <c r="AB86">
        <v>-786812121</v>
      </c>
    </row>
    <row r="87" spans="1:28" x14ac:dyDescent="0.2">
      <c r="A87">
        <v>20</v>
      </c>
      <c r="B87">
        <v>107</v>
      </c>
      <c r="C87">
        <v>2</v>
      </c>
      <c r="D87">
        <v>0</v>
      </c>
      <c r="E87">
        <f>SmtRes!AV107</f>
        <v>0</v>
      </c>
      <c r="F87" t="str">
        <f>SmtRes!I107</f>
        <v>021141</v>
      </c>
      <c r="G87" t="str">
        <f>SmtRes!K107</f>
        <v>Краны на автомобильном ходу при работе на других видах строительства 10 т</v>
      </c>
      <c r="H87" t="str">
        <f>SmtRes!O107</f>
        <v>маш.-ч</v>
      </c>
      <c r="I87">
        <f>SmtRes!Y107*Source!I113</f>
        <v>2.7960000000000002E-2</v>
      </c>
      <c r="J87">
        <f>SmtRes!AO107</f>
        <v>1</v>
      </c>
      <c r="K87">
        <f>SmtRes!AF107</f>
        <v>124.14</v>
      </c>
      <c r="L87">
        <f>SmtRes!DB107</f>
        <v>14.9</v>
      </c>
      <c r="M87">
        <f>ROUND(ROUND(L87*Source!I113, 2)*1, 2)</f>
        <v>3.47</v>
      </c>
      <c r="N87">
        <f>SmtRes!AB107</f>
        <v>1453.68</v>
      </c>
      <c r="O87">
        <f>ROUND(ROUND(L87*Source!I113, 2)*SmtRes!DA107, 2)</f>
        <v>40.630000000000003</v>
      </c>
      <c r="P87">
        <f>SmtRes!AG107</f>
        <v>12.1</v>
      </c>
      <c r="Q87">
        <f>SmtRes!DC107</f>
        <v>1.45</v>
      </c>
      <c r="R87">
        <f>ROUND(ROUND(Q87*Source!I113, 2)*1, 2)</f>
        <v>0.34</v>
      </c>
      <c r="S87">
        <f>SmtRes!AC107</f>
        <v>426.77</v>
      </c>
      <c r="T87">
        <f>ROUND(ROUND(Q87*Source!I113, 2)*SmtRes!AK107, 2)</f>
        <v>11.99</v>
      </c>
      <c r="U87">
        <v>2</v>
      </c>
      <c r="Z87">
        <f>SmtRes!X107</f>
        <v>1447433125</v>
      </c>
      <c r="AA87">
        <v>1854632627</v>
      </c>
      <c r="AB87">
        <v>887395808</v>
      </c>
    </row>
    <row r="88" spans="1:28" x14ac:dyDescent="0.2">
      <c r="A88">
        <v>20</v>
      </c>
      <c r="B88">
        <v>106</v>
      </c>
      <c r="C88">
        <v>2</v>
      </c>
      <c r="D88">
        <v>0</v>
      </c>
      <c r="E88">
        <f>SmtRes!AV106</f>
        <v>0</v>
      </c>
      <c r="F88" t="str">
        <f>SmtRes!I106</f>
        <v>020403</v>
      </c>
      <c r="G88" t="str">
        <f>SmtRes!K106</f>
        <v>Краны козловые при работе на монтаже технологического оборудования 32 т</v>
      </c>
      <c r="H88" t="str">
        <f>SmtRes!O106</f>
        <v>маш.-ч</v>
      </c>
      <c r="I88">
        <f>SmtRes!Y106*Source!I113</f>
        <v>9.7860000000000003E-2</v>
      </c>
      <c r="J88">
        <f>SmtRes!AO106</f>
        <v>1</v>
      </c>
      <c r="K88">
        <f>SmtRes!AF106</f>
        <v>159.85</v>
      </c>
      <c r="L88">
        <f>SmtRes!DB106</f>
        <v>67.14</v>
      </c>
      <c r="M88">
        <f>ROUND(ROUND(L88*Source!I113, 2)*1, 2)</f>
        <v>15.64</v>
      </c>
      <c r="N88">
        <f>SmtRes!AB106</f>
        <v>1791.92</v>
      </c>
      <c r="O88">
        <f>ROUND(ROUND(L88*Source!I113, 2)*SmtRes!DA106, 2)</f>
        <v>175.32</v>
      </c>
      <c r="P88">
        <f>SmtRes!AG106</f>
        <v>13.78</v>
      </c>
      <c r="Q88">
        <f>SmtRes!DC106</f>
        <v>5.79</v>
      </c>
      <c r="R88">
        <f>ROUND(ROUND(Q88*Source!I113, 2)*1, 2)</f>
        <v>1.35</v>
      </c>
      <c r="S88">
        <f>SmtRes!AC106</f>
        <v>486.02</v>
      </c>
      <c r="T88">
        <f>ROUND(ROUND(Q88*Source!I113, 2)*SmtRes!AK106, 2)</f>
        <v>47.61</v>
      </c>
      <c r="U88">
        <v>2</v>
      </c>
      <c r="Z88">
        <f>SmtRes!X106</f>
        <v>1827899330</v>
      </c>
      <c r="AA88">
        <v>819171878</v>
      </c>
      <c r="AB88">
        <v>-910470663</v>
      </c>
    </row>
    <row r="89" spans="1:28" x14ac:dyDescent="0.2">
      <c r="A89">
        <v>20</v>
      </c>
      <c r="B89">
        <v>104</v>
      </c>
      <c r="C89">
        <v>1</v>
      </c>
      <c r="D89">
        <v>0</v>
      </c>
      <c r="E89">
        <f>SmtRes!AV104</f>
        <v>1</v>
      </c>
      <c r="F89" t="str">
        <f>SmtRes!I104</f>
        <v>1-1043-21</v>
      </c>
      <c r="G89" t="str">
        <f>SmtRes!K104</f>
        <v>Рабочий строитель среднего разряда 4,3</v>
      </c>
      <c r="H89" t="str">
        <f>SmtRes!O104</f>
        <v>чел.-ч</v>
      </c>
      <c r="I89">
        <f>SmtRes!Y104*Source!I113</f>
        <v>10.804209999999999</v>
      </c>
      <c r="J89">
        <f>SmtRes!AO104</f>
        <v>1</v>
      </c>
      <c r="K89">
        <f>SmtRes!AH104</f>
        <v>9.4</v>
      </c>
      <c r="L89">
        <f>SmtRes!DB104</f>
        <v>435.88</v>
      </c>
      <c r="M89">
        <f>ROUND(ROUND(L89*Source!I113, 2)*1, 2)</f>
        <v>101.56</v>
      </c>
      <c r="N89">
        <f>SmtRes!AD104</f>
        <v>9.4</v>
      </c>
      <c r="O89">
        <f>ROUND(ROUND(L89*Source!I113, 2)*SmtRes!DA104, 2)</f>
        <v>101.56</v>
      </c>
      <c r="P89">
        <f>SmtRes!AG104</f>
        <v>0</v>
      </c>
      <c r="Q89">
        <f>SmtRes!DC104</f>
        <v>0</v>
      </c>
      <c r="R89">
        <f>ROUND(ROUND(Q89*Source!I113, 2)*1, 2)</f>
        <v>0</v>
      </c>
      <c r="S89">
        <f>SmtRes!AC104</f>
        <v>0</v>
      </c>
      <c r="T89">
        <f>ROUND(ROUND(Q89*Source!I113, 2)*SmtRes!AK104, 2)</f>
        <v>0</v>
      </c>
      <c r="U89">
        <v>1</v>
      </c>
      <c r="Z89">
        <f>SmtRes!X104</f>
        <v>1468083442</v>
      </c>
      <c r="AA89">
        <v>-1721234452</v>
      </c>
      <c r="AB89">
        <v>-693270414</v>
      </c>
    </row>
    <row r="90" spans="1:28" x14ac:dyDescent="0.2">
      <c r="A90">
        <f>Source!A155</f>
        <v>5</v>
      </c>
      <c r="B90">
        <v>155</v>
      </c>
      <c r="G90" t="str">
        <f>Source!G155</f>
        <v>Калитка</v>
      </c>
    </row>
    <row r="91" spans="1:28" x14ac:dyDescent="0.2">
      <c r="A91">
        <v>20</v>
      </c>
      <c r="B91">
        <v>135</v>
      </c>
      <c r="C91">
        <v>3</v>
      </c>
      <c r="D91">
        <v>0</v>
      </c>
      <c r="E91">
        <f>SmtRes!AV135</f>
        <v>0</v>
      </c>
      <c r="F91" t="str">
        <f>SmtRes!I135</f>
        <v>101-1529</v>
      </c>
      <c r="G91" t="str">
        <f>SmtRes!K135</f>
        <v>Электроды диаметром 6 мм Э42</v>
      </c>
      <c r="H91" t="str">
        <f>SmtRes!O135</f>
        <v>т</v>
      </c>
      <c r="I91">
        <f>SmtRes!Y135*Source!I159</f>
        <v>2.0000000000000001E-4</v>
      </c>
      <c r="J91">
        <f>SmtRes!AO135</f>
        <v>1</v>
      </c>
      <c r="K91">
        <f>SmtRes!AE135</f>
        <v>9424</v>
      </c>
      <c r="L91">
        <f>SmtRes!DB135</f>
        <v>188.48</v>
      </c>
      <c r="M91">
        <f>ROUND(ROUND(L91*Source!I159, 2)*1, 2)</f>
        <v>1.88</v>
      </c>
      <c r="N91">
        <f>SmtRes!AA135</f>
        <v>148428</v>
      </c>
      <c r="O91">
        <f>ROUND(ROUND(L91*Source!I159, 2)*SmtRes!DA135, 2)</f>
        <v>29.61</v>
      </c>
      <c r="P91">
        <f>SmtRes!AG135</f>
        <v>0</v>
      </c>
      <c r="Q91">
        <f>SmtRes!DC135</f>
        <v>0</v>
      </c>
      <c r="R91">
        <f>ROUND(ROUND(Q91*Source!I159, 2)*1, 2)</f>
        <v>0</v>
      </c>
      <c r="S91">
        <f>SmtRes!AC135</f>
        <v>0</v>
      </c>
      <c r="T91">
        <f>ROUND(ROUND(Q91*Source!I159, 2)*SmtRes!AK135, 2)</f>
        <v>0</v>
      </c>
      <c r="U91">
        <v>3</v>
      </c>
      <c r="Z91">
        <f>SmtRes!X135</f>
        <v>950208609</v>
      </c>
      <c r="AA91">
        <v>534526499</v>
      </c>
      <c r="AB91">
        <v>-131512131</v>
      </c>
    </row>
    <row r="92" spans="1:28" x14ac:dyDescent="0.2">
      <c r="A92">
        <v>20</v>
      </c>
      <c r="B92">
        <v>134</v>
      </c>
      <c r="C92">
        <v>2</v>
      </c>
      <c r="D92">
        <v>0</v>
      </c>
      <c r="E92">
        <f>SmtRes!AV134</f>
        <v>0</v>
      </c>
      <c r="F92" t="str">
        <f>SmtRes!I134</f>
        <v>400001</v>
      </c>
      <c r="G92" t="str">
        <f>SmtRes!K134</f>
        <v>Автомобили бортовые, грузоподъемность до 5 т</v>
      </c>
      <c r="H92" t="str">
        <f>SmtRes!O134</f>
        <v>маш.-ч</v>
      </c>
      <c r="I92">
        <f>SmtRes!Y134*Source!I159</f>
        <v>3.4000000000000002E-3</v>
      </c>
      <c r="J92">
        <f>SmtRes!AO134</f>
        <v>1</v>
      </c>
      <c r="K92">
        <f>SmtRes!AF134</f>
        <v>91.76</v>
      </c>
      <c r="L92">
        <f>SmtRes!DB134</f>
        <v>31.2</v>
      </c>
      <c r="M92">
        <f>ROUND(ROUND(L92*Source!I159, 2)*1, 2)</f>
        <v>0.31</v>
      </c>
      <c r="N92">
        <f>SmtRes!AB134</f>
        <v>1305.74</v>
      </c>
      <c r="O92">
        <f>ROUND(ROUND(L92*Source!I159, 2)*SmtRes!DA134, 2)</f>
        <v>4.41</v>
      </c>
      <c r="P92">
        <f>SmtRes!AG134</f>
        <v>10.35</v>
      </c>
      <c r="Q92">
        <f>SmtRes!DC134</f>
        <v>3.52</v>
      </c>
      <c r="R92">
        <f>ROUND(ROUND(Q92*Source!I159, 2)*1, 2)</f>
        <v>0.04</v>
      </c>
      <c r="S92">
        <f>SmtRes!AC134</f>
        <v>365.04</v>
      </c>
      <c r="T92">
        <f>ROUND(ROUND(Q92*Source!I159, 2)*SmtRes!AK134, 2)</f>
        <v>1.41</v>
      </c>
      <c r="U92">
        <v>2</v>
      </c>
      <c r="Z92">
        <f>SmtRes!X134</f>
        <v>-671646184</v>
      </c>
      <c r="AA92">
        <v>807713937</v>
      </c>
      <c r="AB92">
        <v>1619992053</v>
      </c>
    </row>
    <row r="93" spans="1:28" x14ac:dyDescent="0.2">
      <c r="A93">
        <v>20</v>
      </c>
      <c r="B93">
        <v>133</v>
      </c>
      <c r="C93">
        <v>2</v>
      </c>
      <c r="D93">
        <v>0</v>
      </c>
      <c r="E93">
        <f>SmtRes!AV133</f>
        <v>0</v>
      </c>
      <c r="F93" t="str">
        <f>SmtRes!I133</f>
        <v>040502</v>
      </c>
      <c r="G93" t="str">
        <f>SmtRes!K133</f>
        <v>Установки для сварки ручной дуговой (постоянного тока)</v>
      </c>
      <c r="H93" t="str">
        <f>SmtRes!O133</f>
        <v>маш.-ч</v>
      </c>
      <c r="I93">
        <f>SmtRes!Y133*Source!I159</f>
        <v>0.11599999999999999</v>
      </c>
      <c r="J93">
        <f>SmtRes!AO133</f>
        <v>1</v>
      </c>
      <c r="K93">
        <f>SmtRes!AF133</f>
        <v>7.55</v>
      </c>
      <c r="L93">
        <f>SmtRes!DB133</f>
        <v>87.58</v>
      </c>
      <c r="M93">
        <f>ROUND(ROUND(L93*Source!I159, 2)*1, 2)</f>
        <v>0.88</v>
      </c>
      <c r="N93">
        <f>SmtRes!AB133</f>
        <v>51.94</v>
      </c>
      <c r="O93">
        <f>ROUND(ROUND(L93*Source!I159, 2)*SmtRes!DA133, 2)</f>
        <v>6.05</v>
      </c>
      <c r="P93">
        <f>SmtRes!AG133</f>
        <v>0</v>
      </c>
      <c r="Q93">
        <f>SmtRes!DC133</f>
        <v>0</v>
      </c>
      <c r="R93">
        <f>ROUND(ROUND(Q93*Source!I159, 2)*1, 2)</f>
        <v>0</v>
      </c>
      <c r="S93">
        <f>SmtRes!AC133</f>
        <v>0</v>
      </c>
      <c r="T93">
        <f>ROUND(ROUND(Q93*Source!I159, 2)*SmtRes!AK133, 2)</f>
        <v>0</v>
      </c>
      <c r="U93">
        <v>2</v>
      </c>
      <c r="Z93">
        <f>SmtRes!X133</f>
        <v>1084334125</v>
      </c>
      <c r="AA93">
        <v>-1008782424</v>
      </c>
      <c r="AB93">
        <v>941240836</v>
      </c>
    </row>
    <row r="94" spans="1:28" x14ac:dyDescent="0.2">
      <c r="A94">
        <v>20</v>
      </c>
      <c r="B94">
        <v>132</v>
      </c>
      <c r="C94">
        <v>1</v>
      </c>
      <c r="D94">
        <v>0</v>
      </c>
      <c r="E94">
        <f>SmtRes!AV132</f>
        <v>1</v>
      </c>
      <c r="F94" t="str">
        <f>SmtRes!I132</f>
        <v>1-1030-21</v>
      </c>
      <c r="G94" t="str">
        <f>SmtRes!K132</f>
        <v>Рабочий строитель среднего разряда 3</v>
      </c>
      <c r="H94" t="str">
        <f>SmtRes!O132</f>
        <v>чел.-ч</v>
      </c>
      <c r="I94">
        <f>SmtRes!Y132*Source!I159</f>
        <v>0.77390000000000003</v>
      </c>
      <c r="J94">
        <f>SmtRes!AO132</f>
        <v>1</v>
      </c>
      <c r="K94">
        <f>SmtRes!AH132</f>
        <v>7.97</v>
      </c>
      <c r="L94">
        <f>SmtRes!DB132</f>
        <v>616.79999999999995</v>
      </c>
      <c r="M94">
        <f>ROUND(ROUND(L94*Source!I159, 2)*1, 2)</f>
        <v>6.17</v>
      </c>
      <c r="N94">
        <f>SmtRes!AD132</f>
        <v>7.97</v>
      </c>
      <c r="O94">
        <f>ROUND(ROUND(L94*Source!I159, 2)*SmtRes!DA132, 2)</f>
        <v>6.17</v>
      </c>
      <c r="P94">
        <f>SmtRes!AG132</f>
        <v>0</v>
      </c>
      <c r="Q94">
        <f>SmtRes!DC132</f>
        <v>0</v>
      </c>
      <c r="R94">
        <f>ROUND(ROUND(Q94*Source!I159, 2)*1, 2)</f>
        <v>0</v>
      </c>
      <c r="S94">
        <f>SmtRes!AC132</f>
        <v>0</v>
      </c>
      <c r="T94">
        <f>ROUND(ROUND(Q94*Source!I159, 2)*SmtRes!AK132, 2)</f>
        <v>0</v>
      </c>
      <c r="U94">
        <v>1</v>
      </c>
      <c r="Z94">
        <f>SmtRes!X132</f>
        <v>756115135</v>
      </c>
      <c r="AA94">
        <v>-103154406</v>
      </c>
      <c r="AB94">
        <v>1494462434</v>
      </c>
    </row>
    <row r="95" spans="1:28" x14ac:dyDescent="0.2">
      <c r="A95">
        <f>Source!A161</f>
        <v>17</v>
      </c>
      <c r="B95">
        <v>161</v>
      </c>
      <c r="C95">
        <v>3</v>
      </c>
      <c r="D95">
        <f>Source!BI161</f>
        <v>1</v>
      </c>
      <c r="E95">
        <f>Source!FS161</f>
        <v>0</v>
      </c>
      <c r="F95" t="str">
        <f>Source!F161</f>
        <v>203-0587</v>
      </c>
      <c r="G95" t="str">
        <f>Source!G161</f>
        <v>Полотна калиток решетчатые высотой до 2,0 м</v>
      </c>
      <c r="H95" t="str">
        <f>Source!H161</f>
        <v>м2</v>
      </c>
      <c r="I95">
        <f>Source!I161</f>
        <v>1.8</v>
      </c>
      <c r="J95">
        <v>1</v>
      </c>
      <c r="K95">
        <f>Source!AC161</f>
        <v>178.64</v>
      </c>
      <c r="M95">
        <f>ROUND(K95*I95, 2)</f>
        <v>321.55</v>
      </c>
      <c r="N95">
        <f>Source!AC161*IF(Source!BC161&lt;&gt; 0, Source!BC161, 1)</f>
        <v>1545.2359999999999</v>
      </c>
      <c r="O95">
        <f>ROUND(N95*I95, 2)</f>
        <v>2781.42</v>
      </c>
      <c r="P95">
        <f>Source!AE161</f>
        <v>0</v>
      </c>
      <c r="R95">
        <f>ROUND(P95*I95, 2)</f>
        <v>0</v>
      </c>
      <c r="S95">
        <f>Source!AE161*IF(Source!BS161&lt;&gt; 0, Source!BS161, 1)</f>
        <v>0</v>
      </c>
      <c r="T95">
        <f>ROUND(S95*I95, 2)</f>
        <v>0</v>
      </c>
      <c r="U95">
        <v>3</v>
      </c>
      <c r="Z95">
        <f>Source!GF161</f>
        <v>-455312434</v>
      </c>
      <c r="AA95">
        <v>-1612919228</v>
      </c>
      <c r="AB95">
        <v>-936587172</v>
      </c>
    </row>
    <row r="96" spans="1:28" x14ac:dyDescent="0.2">
      <c r="A96">
        <f>Source!A162</f>
        <v>17</v>
      </c>
      <c r="B96">
        <v>162</v>
      </c>
      <c r="C96">
        <v>3</v>
      </c>
      <c r="D96">
        <f>Source!BI162</f>
        <v>1</v>
      </c>
      <c r="E96">
        <f>Source!FS162</f>
        <v>0</v>
      </c>
      <c r="F96" t="str">
        <f>Source!F162</f>
        <v>201-0778</v>
      </c>
      <c r="G96" t="str">
        <f>Source!G162</f>
        <v>Прочие индивидуальные сварные конструкции, масса сборочной единицы до 0,1 т (столбы)</v>
      </c>
      <c r="H96" t="str">
        <f>Source!H162</f>
        <v>т</v>
      </c>
      <c r="I96">
        <f>Source!I162</f>
        <v>5.9249999999999997E-3</v>
      </c>
      <c r="J96">
        <v>1</v>
      </c>
      <c r="K96">
        <f>Source!AC162</f>
        <v>11315</v>
      </c>
      <c r="M96">
        <f>ROUND(K96*I96, 2)</f>
        <v>67.040000000000006</v>
      </c>
      <c r="N96">
        <f>Source!AC162*IF(Source!BC162&lt;&gt; 0, Source!BC162, 1)</f>
        <v>114394.65</v>
      </c>
      <c r="O96">
        <f>ROUND(N96*I96, 2)</f>
        <v>677.79</v>
      </c>
      <c r="P96">
        <f>Source!AE162</f>
        <v>0</v>
      </c>
      <c r="R96">
        <f>ROUND(P96*I96, 2)</f>
        <v>0</v>
      </c>
      <c r="S96">
        <f>Source!AE162*IF(Source!BS162&lt;&gt; 0, Source!BS162, 1)</f>
        <v>0</v>
      </c>
      <c r="T96">
        <f>ROUND(S96*I96, 2)</f>
        <v>0</v>
      </c>
      <c r="U96">
        <v>3</v>
      </c>
      <c r="Z96">
        <f>Source!GF162</f>
        <v>-617496873</v>
      </c>
      <c r="AA96">
        <v>444338443</v>
      </c>
      <c r="AB96">
        <v>1862524901</v>
      </c>
    </row>
    <row r="97" spans="1:28" x14ac:dyDescent="0.2">
      <c r="A97">
        <f>Source!A163</f>
        <v>17</v>
      </c>
      <c r="B97">
        <v>163</v>
      </c>
      <c r="C97">
        <v>3</v>
      </c>
      <c r="D97">
        <f>Source!BI163</f>
        <v>2</v>
      </c>
      <c r="E97">
        <f>Source!FS163</f>
        <v>0</v>
      </c>
      <c r="F97" t="str">
        <f>Source!F163</f>
        <v>509-3594</v>
      </c>
      <c r="G97" t="str">
        <f>Source!G163</f>
        <v>Заглушка для короба 60х60 мм</v>
      </c>
      <c r="H97" t="str">
        <f>Source!H163</f>
        <v>шт.</v>
      </c>
      <c r="I97">
        <f>Source!I163</f>
        <v>6</v>
      </c>
      <c r="J97">
        <v>1</v>
      </c>
      <c r="K97">
        <f>Source!AC163</f>
        <v>8.82</v>
      </c>
      <c r="M97">
        <f>ROUND(K97*I97, 2)</f>
        <v>52.92</v>
      </c>
      <c r="N97">
        <f>Source!AC163*IF(Source!BC163&lt;&gt; 0, Source!BC163, 1)</f>
        <v>78.233399999999989</v>
      </c>
      <c r="O97">
        <f>ROUND(N97*I97, 2)</f>
        <v>469.4</v>
      </c>
      <c r="P97">
        <f>Source!AE163</f>
        <v>0</v>
      </c>
      <c r="R97">
        <f>ROUND(P97*I97, 2)</f>
        <v>0</v>
      </c>
      <c r="S97">
        <f>Source!AE163*IF(Source!BS163&lt;&gt; 0, Source!BS163, 1)</f>
        <v>0</v>
      </c>
      <c r="T97">
        <f>ROUND(S97*I97, 2)</f>
        <v>0</v>
      </c>
      <c r="U97">
        <v>3</v>
      </c>
      <c r="Z97">
        <f>Source!GF163</f>
        <v>-1668647201</v>
      </c>
      <c r="AA97">
        <v>-1351805049</v>
      </c>
      <c r="AB97">
        <v>-1646305074</v>
      </c>
    </row>
    <row r="98" spans="1:28" x14ac:dyDescent="0.2">
      <c r="A98">
        <f>Source!A164</f>
        <v>17</v>
      </c>
      <c r="B98">
        <v>164</v>
      </c>
      <c r="C98">
        <v>3</v>
      </c>
      <c r="D98">
        <f>Source!BI164</f>
        <v>1</v>
      </c>
      <c r="E98">
        <f>Source!FS164</f>
        <v>0</v>
      </c>
      <c r="F98" t="str">
        <f>Source!F164</f>
        <v>101-0956</v>
      </c>
      <c r="G98" t="str">
        <f>Source!G164</f>
        <v>Петля накладная</v>
      </c>
      <c r="H98" t="str">
        <f>Source!H164</f>
        <v>шт.</v>
      </c>
      <c r="I98">
        <f>Source!I164</f>
        <v>2</v>
      </c>
      <c r="J98">
        <v>1</v>
      </c>
      <c r="K98">
        <f>Source!AC164</f>
        <v>12</v>
      </c>
      <c r="M98">
        <f>ROUND(K98*I98, 2)</f>
        <v>24</v>
      </c>
      <c r="N98">
        <f>Source!AC164*IF(Source!BC164&lt;&gt; 0, Source!BC164, 1)</f>
        <v>112.44</v>
      </c>
      <c r="O98">
        <f>ROUND(N98*I98, 2)</f>
        <v>224.88</v>
      </c>
      <c r="P98">
        <f>Source!AE164</f>
        <v>0</v>
      </c>
      <c r="R98">
        <f>ROUND(P98*I98, 2)</f>
        <v>0</v>
      </c>
      <c r="S98">
        <f>Source!AE164*IF(Source!BS164&lt;&gt; 0, Source!BS164, 1)</f>
        <v>0</v>
      </c>
      <c r="T98">
        <f>ROUND(S98*I98, 2)</f>
        <v>0</v>
      </c>
      <c r="U98">
        <v>3</v>
      </c>
      <c r="Z98">
        <f>Source!GF164</f>
        <v>-1107254297</v>
      </c>
      <c r="AA98">
        <v>-1849139732</v>
      </c>
      <c r="AB98">
        <v>622869101</v>
      </c>
    </row>
    <row r="99" spans="1:28" x14ac:dyDescent="0.2">
      <c r="A99">
        <f>Source!A165</f>
        <v>17</v>
      </c>
      <c r="B99">
        <v>165</v>
      </c>
      <c r="C99">
        <v>3</v>
      </c>
      <c r="D99">
        <f>Source!BI165</f>
        <v>1</v>
      </c>
      <c r="E99">
        <f>Source!FS165</f>
        <v>0</v>
      </c>
      <c r="F99" t="str">
        <f>Source!F165</f>
        <v>101-2005</v>
      </c>
      <c r="G99" t="str">
        <f>Source!G165</f>
        <v>Щеколды</v>
      </c>
      <c r="H99" t="str">
        <f>Source!H165</f>
        <v>компл.</v>
      </c>
      <c r="I99">
        <f>Source!I165</f>
        <v>1</v>
      </c>
      <c r="J99">
        <v>1</v>
      </c>
      <c r="K99">
        <f>Source!AC165</f>
        <v>33</v>
      </c>
      <c r="M99">
        <f>ROUND(K99*I99, 2)</f>
        <v>33</v>
      </c>
      <c r="N99">
        <f>Source!AC165*IF(Source!BC165&lt;&gt; 0, Source!BC165, 1)</f>
        <v>398.64</v>
      </c>
      <c r="O99">
        <f>ROUND(N99*I99, 2)</f>
        <v>398.64</v>
      </c>
      <c r="P99">
        <f>Source!AE165</f>
        <v>0</v>
      </c>
      <c r="R99">
        <f>ROUND(P99*I99, 2)</f>
        <v>0</v>
      </c>
      <c r="S99">
        <f>Source!AE165*IF(Source!BS165&lt;&gt; 0, Source!BS165, 1)</f>
        <v>0</v>
      </c>
      <c r="T99">
        <f>ROUND(S99*I99, 2)</f>
        <v>0</v>
      </c>
      <c r="U99">
        <v>3</v>
      </c>
      <c r="Z99">
        <f>Source!GF165</f>
        <v>2595824</v>
      </c>
      <c r="AA99">
        <v>-1571153178</v>
      </c>
      <c r="AB99">
        <v>-816947651</v>
      </c>
    </row>
    <row r="100" spans="1:28" x14ac:dyDescent="0.2">
      <c r="A100">
        <f>Source!A243</f>
        <v>4</v>
      </c>
      <c r="B100">
        <v>243</v>
      </c>
      <c r="G100" t="str">
        <f>Source!G243</f>
        <v>Площадка под ТКО</v>
      </c>
    </row>
    <row r="101" spans="1:28" x14ac:dyDescent="0.2">
      <c r="A101">
        <v>20</v>
      </c>
      <c r="B101">
        <v>137</v>
      </c>
      <c r="C101">
        <v>1</v>
      </c>
      <c r="D101">
        <v>0</v>
      </c>
      <c r="E101">
        <f>SmtRes!AV137</f>
        <v>1</v>
      </c>
      <c r="F101" t="str">
        <f>SmtRes!I137</f>
        <v>1-1020-21</v>
      </c>
      <c r="G101" t="str">
        <f>SmtRes!K137</f>
        <v>Рабочий строитель среднего разряда 2</v>
      </c>
      <c r="H101" t="str">
        <f>SmtRes!O137</f>
        <v>чел.-ч</v>
      </c>
      <c r="I101">
        <f>SmtRes!Y137*Source!I247</f>
        <v>3.2568000000000001</v>
      </c>
      <c r="J101">
        <f>SmtRes!AO137</f>
        <v>1</v>
      </c>
      <c r="K101">
        <f>SmtRes!AH137</f>
        <v>7.29</v>
      </c>
      <c r="L101">
        <f>SmtRes!DB137</f>
        <v>860.22</v>
      </c>
      <c r="M101">
        <f>ROUND(ROUND(L101*Source!I247, 2)*1, 2)</f>
        <v>23.74</v>
      </c>
      <c r="N101">
        <f>SmtRes!AD137</f>
        <v>7.29</v>
      </c>
      <c r="O101">
        <f>ROUND(ROUND(L101*Source!I247, 2)*SmtRes!DA137, 2)</f>
        <v>23.74</v>
      </c>
      <c r="P101">
        <f>SmtRes!AG137</f>
        <v>0</v>
      </c>
      <c r="Q101">
        <f>SmtRes!DC137</f>
        <v>0</v>
      </c>
      <c r="R101">
        <f>ROUND(ROUND(Q101*Source!I247, 2)*1, 2)</f>
        <v>0</v>
      </c>
      <c r="S101">
        <f>SmtRes!AC137</f>
        <v>0</v>
      </c>
      <c r="T101">
        <f>ROUND(ROUND(Q101*Source!I247, 2)*SmtRes!AK137, 2)</f>
        <v>0</v>
      </c>
      <c r="U101">
        <v>1</v>
      </c>
      <c r="Z101">
        <f>SmtRes!X137</f>
        <v>1250814213</v>
      </c>
      <c r="AA101">
        <v>777447757</v>
      </c>
      <c r="AB101">
        <v>-1697901350</v>
      </c>
    </row>
    <row r="102" spans="1:28" x14ac:dyDescent="0.2">
      <c r="A102">
        <v>20</v>
      </c>
      <c r="B102">
        <v>138</v>
      </c>
      <c r="C102">
        <v>1</v>
      </c>
      <c r="D102">
        <v>0</v>
      </c>
      <c r="E102">
        <f>SmtRes!AV138</f>
        <v>1</v>
      </c>
      <c r="F102" t="str">
        <f>SmtRes!I138</f>
        <v>1-1015-21</v>
      </c>
      <c r="G102" t="str">
        <f>SmtRes!K138</f>
        <v>Рабочий строитель среднего разряда 1,5</v>
      </c>
      <c r="H102" t="str">
        <f>SmtRes!O138</f>
        <v>чел.-ч</v>
      </c>
      <c r="I102">
        <f>SmtRes!Y138*Source!I248</f>
        <v>1.478256</v>
      </c>
      <c r="J102">
        <f>SmtRes!AO138</f>
        <v>1</v>
      </c>
      <c r="K102">
        <f>SmtRes!AH138</f>
        <v>7.01</v>
      </c>
      <c r="L102">
        <f>SmtRes!DB138</f>
        <v>375.46</v>
      </c>
      <c r="M102">
        <f>ROUND(ROUND(L102*Source!I248, 2)*1, 2)</f>
        <v>10.36</v>
      </c>
      <c r="N102">
        <f>SmtRes!AD138</f>
        <v>7.01</v>
      </c>
      <c r="O102">
        <f>ROUND(ROUND(L102*Source!I248, 2)*SmtRes!DA138, 2)</f>
        <v>10.36</v>
      </c>
      <c r="P102">
        <f>SmtRes!AG138</f>
        <v>0</v>
      </c>
      <c r="Q102">
        <f>SmtRes!DC138</f>
        <v>0</v>
      </c>
      <c r="R102">
        <f>ROUND(ROUND(Q102*Source!I248, 2)*1, 2)</f>
        <v>0</v>
      </c>
      <c r="S102">
        <f>SmtRes!AC138</f>
        <v>0</v>
      </c>
      <c r="T102">
        <f>ROUND(ROUND(Q102*Source!I248, 2)*SmtRes!AK138, 2)</f>
        <v>0</v>
      </c>
      <c r="U102">
        <v>1</v>
      </c>
      <c r="Z102">
        <f>SmtRes!X138</f>
        <v>-486278812</v>
      </c>
      <c r="AA102">
        <v>-2107943223</v>
      </c>
      <c r="AB102">
        <v>-1764341061</v>
      </c>
    </row>
    <row r="103" spans="1:28" x14ac:dyDescent="0.2">
      <c r="A103">
        <v>20</v>
      </c>
      <c r="B103">
        <v>147</v>
      </c>
      <c r="C103">
        <v>3</v>
      </c>
      <c r="D103">
        <v>0</v>
      </c>
      <c r="E103">
        <f>SmtRes!AV147</f>
        <v>0</v>
      </c>
      <c r="F103" t="str">
        <f>SmtRes!I147</f>
        <v>411-0001</v>
      </c>
      <c r="G103" t="str">
        <f>SmtRes!K147</f>
        <v>Вода</v>
      </c>
      <c r="H103" t="str">
        <f>SmtRes!O147</f>
        <v>м3</v>
      </c>
      <c r="I103">
        <f>SmtRes!Y147*Source!I250</f>
        <v>0.1449</v>
      </c>
      <c r="J103">
        <f>SmtRes!AO147</f>
        <v>1</v>
      </c>
      <c r="K103">
        <f>SmtRes!AE147</f>
        <v>2.4700000000000002</v>
      </c>
      <c r="L103">
        <f>SmtRes!DB147</f>
        <v>17.29</v>
      </c>
      <c r="M103">
        <f>ROUND(ROUND(L103*Source!I250, 2)*1, 2)</f>
        <v>0.36</v>
      </c>
      <c r="N103">
        <f>SmtRes!AA147</f>
        <v>19.59</v>
      </c>
      <c r="O103">
        <f>ROUND(ROUND(L103*Source!I250, 2)*SmtRes!DA147, 2)</f>
        <v>2.85</v>
      </c>
      <c r="P103">
        <f>SmtRes!AG147</f>
        <v>0</v>
      </c>
      <c r="Q103">
        <f>SmtRes!DC147</f>
        <v>0</v>
      </c>
      <c r="R103">
        <f>ROUND(ROUND(Q103*Source!I250, 2)*1, 2)</f>
        <v>0</v>
      </c>
      <c r="S103">
        <f>SmtRes!AC147</f>
        <v>0</v>
      </c>
      <c r="T103">
        <f>ROUND(ROUND(Q103*Source!I250, 2)*SmtRes!AK147, 2)</f>
        <v>0</v>
      </c>
      <c r="U103">
        <v>3</v>
      </c>
      <c r="Z103">
        <f>SmtRes!X147</f>
        <v>-1418712732</v>
      </c>
      <c r="AA103">
        <v>-1607643924</v>
      </c>
      <c r="AB103">
        <v>868455164</v>
      </c>
    </row>
    <row r="104" spans="1:28" x14ac:dyDescent="0.2">
      <c r="A104">
        <v>20</v>
      </c>
      <c r="B104">
        <v>145</v>
      </c>
      <c r="C104">
        <v>2</v>
      </c>
      <c r="D104">
        <v>0</v>
      </c>
      <c r="E104">
        <f>SmtRes!AV145</f>
        <v>0</v>
      </c>
      <c r="F104" t="str">
        <f>SmtRes!I145</f>
        <v>121601</v>
      </c>
      <c r="G104" t="str">
        <f>SmtRes!K145</f>
        <v>Машины поливомоечные 6000 л</v>
      </c>
      <c r="H104" t="str">
        <f>SmtRes!O145</f>
        <v>маш.-ч</v>
      </c>
      <c r="I104">
        <f>SmtRes!Y145*Source!I250</f>
        <v>2.1528000000000002E-2</v>
      </c>
      <c r="J104">
        <f>SmtRes!AO145</f>
        <v>1</v>
      </c>
      <c r="K104">
        <f>SmtRes!AF145</f>
        <v>119.25</v>
      </c>
      <c r="L104">
        <f>SmtRes!DB145</f>
        <v>124.02</v>
      </c>
      <c r="M104">
        <f>ROUND(ROUND(L104*Source!I250, 2)*1, 2)</f>
        <v>2.57</v>
      </c>
      <c r="N104">
        <f>SmtRes!AB145</f>
        <v>1562.18</v>
      </c>
      <c r="O104">
        <f>ROUND(ROUND(L104*Source!I250, 2)*SmtRes!DA145, 2)</f>
        <v>33.67</v>
      </c>
      <c r="P104">
        <f>SmtRes!AG145</f>
        <v>10.35</v>
      </c>
      <c r="Q104">
        <f>SmtRes!DC145</f>
        <v>10.76</v>
      </c>
      <c r="R104">
        <f>ROUND(ROUND(Q104*Source!I250, 2)*1, 2)</f>
        <v>0.22</v>
      </c>
      <c r="S104">
        <f>SmtRes!AC145</f>
        <v>365.04</v>
      </c>
      <c r="T104">
        <f>ROUND(ROUND(Q104*Source!I250, 2)*SmtRes!AK145, 2)</f>
        <v>7.76</v>
      </c>
      <c r="U104">
        <v>2</v>
      </c>
      <c r="Z104">
        <f>SmtRes!X145</f>
        <v>1797372022</v>
      </c>
      <c r="AA104">
        <v>127107692</v>
      </c>
      <c r="AB104">
        <v>-557055019</v>
      </c>
    </row>
    <row r="105" spans="1:28" x14ac:dyDescent="0.2">
      <c r="A105">
        <v>20</v>
      </c>
      <c r="B105">
        <v>144</v>
      </c>
      <c r="C105">
        <v>2</v>
      </c>
      <c r="D105">
        <v>0</v>
      </c>
      <c r="E105">
        <f>SmtRes!AV144</f>
        <v>0</v>
      </c>
      <c r="F105" t="str">
        <f>SmtRes!I144</f>
        <v>120911</v>
      </c>
      <c r="G105" t="str">
        <f>SmtRes!K144</f>
        <v>Катки на пневмоколесном ходу 30 т</v>
      </c>
      <c r="H105" t="str">
        <f>SmtRes!O144</f>
        <v>маш.-ч</v>
      </c>
      <c r="I105">
        <f>SmtRes!Y144*Source!I250</f>
        <v>0.14655599999999999</v>
      </c>
      <c r="J105">
        <f>SmtRes!AO144</f>
        <v>1</v>
      </c>
      <c r="K105">
        <f>SmtRes!AF144</f>
        <v>210.32</v>
      </c>
      <c r="L105">
        <f>SmtRes!DB144</f>
        <v>1489.07</v>
      </c>
      <c r="M105">
        <f>ROUND(ROUND(L105*Source!I250, 2)*1, 2)</f>
        <v>30.82</v>
      </c>
      <c r="N105">
        <f>SmtRes!AB144</f>
        <v>3076.98</v>
      </c>
      <c r="O105">
        <f>ROUND(ROUND(L105*Source!I250, 2)*SmtRes!DA144, 2)</f>
        <v>450.9</v>
      </c>
      <c r="P105">
        <f>SmtRes!AG144</f>
        <v>12.9</v>
      </c>
      <c r="Q105">
        <f>SmtRes!DC144</f>
        <v>91.33</v>
      </c>
      <c r="R105">
        <f>ROUND(ROUND(Q105*Source!I250, 2)*1, 2)</f>
        <v>1.89</v>
      </c>
      <c r="S105">
        <f>SmtRes!AC144</f>
        <v>454.98</v>
      </c>
      <c r="T105">
        <f>ROUND(ROUND(Q105*Source!I250, 2)*SmtRes!AK144, 2)</f>
        <v>66.66</v>
      </c>
      <c r="U105">
        <v>2</v>
      </c>
      <c r="Z105">
        <f>SmtRes!X144</f>
        <v>-1765436741</v>
      </c>
      <c r="AA105">
        <v>-1961767982</v>
      </c>
      <c r="AB105">
        <v>468207442</v>
      </c>
    </row>
    <row r="106" spans="1:28" x14ac:dyDescent="0.2">
      <c r="A106">
        <v>20</v>
      </c>
      <c r="B106">
        <v>143</v>
      </c>
      <c r="C106">
        <v>2</v>
      </c>
      <c r="D106">
        <v>0</v>
      </c>
      <c r="E106">
        <f>SmtRes!AV143</f>
        <v>0</v>
      </c>
      <c r="F106" t="str">
        <f>SmtRes!I143</f>
        <v>120202</v>
      </c>
      <c r="G106" t="str">
        <f>SmtRes!K143</f>
        <v>Автогрейдеры среднего типа 99 кВт (135 л.с.)</v>
      </c>
      <c r="H106" t="str">
        <f>SmtRes!O143</f>
        <v>маш.-ч</v>
      </c>
      <c r="I106">
        <f>SmtRes!Y143*Source!I250</f>
        <v>3.9951E-2</v>
      </c>
      <c r="J106">
        <f>SmtRes!AO143</f>
        <v>1</v>
      </c>
      <c r="K106">
        <f>SmtRes!AF143</f>
        <v>155.09</v>
      </c>
      <c r="L106">
        <f>SmtRes!DB143</f>
        <v>299.32</v>
      </c>
      <c r="M106">
        <f>ROUND(ROUND(L106*Source!I250, 2)*1, 2)</f>
        <v>6.2</v>
      </c>
      <c r="N106">
        <f>SmtRes!AB143</f>
        <v>2357.37</v>
      </c>
      <c r="O106">
        <f>ROUND(ROUND(L106*Source!I250, 2)*SmtRes!DA143, 2)</f>
        <v>94.24</v>
      </c>
      <c r="P106">
        <f>SmtRes!AG143</f>
        <v>12.1</v>
      </c>
      <c r="Q106">
        <f>SmtRes!DC143</f>
        <v>23.35</v>
      </c>
      <c r="R106">
        <f>ROUND(ROUND(Q106*Source!I250, 2)*1, 2)</f>
        <v>0.48</v>
      </c>
      <c r="S106">
        <f>SmtRes!AC143</f>
        <v>426.77</v>
      </c>
      <c r="T106">
        <f>ROUND(ROUND(Q106*Source!I250, 2)*SmtRes!AK143, 2)</f>
        <v>16.93</v>
      </c>
      <c r="U106">
        <v>2</v>
      </c>
      <c r="Z106">
        <f>SmtRes!X143</f>
        <v>-769434373</v>
      </c>
      <c r="AA106">
        <v>137259497</v>
      </c>
      <c r="AB106">
        <v>151427480</v>
      </c>
    </row>
    <row r="107" spans="1:28" x14ac:dyDescent="0.2">
      <c r="A107">
        <v>20</v>
      </c>
      <c r="B107">
        <v>142</v>
      </c>
      <c r="C107">
        <v>2</v>
      </c>
      <c r="D107">
        <v>0</v>
      </c>
      <c r="E107">
        <f>SmtRes!AV142</f>
        <v>0</v>
      </c>
      <c r="F107" t="str">
        <f>SmtRes!I142</f>
        <v>030101</v>
      </c>
      <c r="G107" t="str">
        <f>SmtRes!K142</f>
        <v>Автопогрузчики 5 т</v>
      </c>
      <c r="H107" t="str">
        <f>SmtRes!O142</f>
        <v>маш.-ч</v>
      </c>
      <c r="I107">
        <f>SmtRes!Y142*Source!I250</f>
        <v>9.8531999999999995E-2</v>
      </c>
      <c r="J107">
        <f>SmtRes!AO142</f>
        <v>1</v>
      </c>
      <c r="K107">
        <f>SmtRes!AF142</f>
        <v>87.24</v>
      </c>
      <c r="L107">
        <f>SmtRes!DB142</f>
        <v>415.26</v>
      </c>
      <c r="M107">
        <f>ROUND(ROUND(L107*Source!I250, 2)*1, 2)</f>
        <v>8.6</v>
      </c>
      <c r="N107">
        <f>SmtRes!AB142</f>
        <v>2230.73</v>
      </c>
      <c r="O107">
        <f>ROUND(ROUND(L107*Source!I250, 2)*SmtRes!DA142, 2)</f>
        <v>219.9</v>
      </c>
      <c r="P107">
        <f>SmtRes!AG142</f>
        <v>9</v>
      </c>
      <c r="Q107">
        <f>SmtRes!DC142</f>
        <v>42.84</v>
      </c>
      <c r="R107">
        <f>ROUND(ROUND(Q107*Source!I250, 2)*1, 2)</f>
        <v>0.89</v>
      </c>
      <c r="S107">
        <f>SmtRes!AC142</f>
        <v>317.43</v>
      </c>
      <c r="T107">
        <f>ROUND(ROUND(Q107*Source!I250, 2)*SmtRes!AK142, 2)</f>
        <v>31.39</v>
      </c>
      <c r="U107">
        <v>2</v>
      </c>
      <c r="Z107">
        <f>SmtRes!X142</f>
        <v>-674318163</v>
      </c>
      <c r="AA107">
        <v>-1657392001</v>
      </c>
      <c r="AB107">
        <v>-771525458</v>
      </c>
    </row>
    <row r="108" spans="1:28" x14ac:dyDescent="0.2">
      <c r="A108">
        <v>20</v>
      </c>
      <c r="B108">
        <v>140</v>
      </c>
      <c r="C108">
        <v>1</v>
      </c>
      <c r="D108">
        <v>0</v>
      </c>
      <c r="E108">
        <f>SmtRes!AV140</f>
        <v>1</v>
      </c>
      <c r="F108" t="str">
        <f>SmtRes!I140</f>
        <v>1-1023-21</v>
      </c>
      <c r="G108" t="str">
        <f>SmtRes!K140</f>
        <v>Рабочий строитель среднего разряда 2,3</v>
      </c>
      <c r="H108" t="str">
        <f>SmtRes!O140</f>
        <v>чел.-ч</v>
      </c>
      <c r="I108">
        <f>SmtRes!Y140*Source!I250</f>
        <v>0.32540400000000003</v>
      </c>
      <c r="J108">
        <f>SmtRes!AO140</f>
        <v>1</v>
      </c>
      <c r="K108">
        <f>SmtRes!AH140</f>
        <v>7.49</v>
      </c>
      <c r="L108">
        <f>SmtRes!DB140</f>
        <v>117.74</v>
      </c>
      <c r="M108">
        <f>ROUND(ROUND(L108*Source!I250, 2)*1, 2)</f>
        <v>2.44</v>
      </c>
      <c r="N108">
        <f>SmtRes!AD140</f>
        <v>7.49</v>
      </c>
      <c r="O108">
        <f>ROUND(ROUND(L108*Source!I250, 2)*SmtRes!DA140, 2)</f>
        <v>2.44</v>
      </c>
      <c r="P108">
        <f>SmtRes!AG140</f>
        <v>0</v>
      </c>
      <c r="Q108">
        <f>SmtRes!DC140</f>
        <v>0</v>
      </c>
      <c r="R108">
        <f>ROUND(ROUND(Q108*Source!I250, 2)*1, 2)</f>
        <v>0</v>
      </c>
      <c r="S108">
        <f>SmtRes!AC140</f>
        <v>0</v>
      </c>
      <c r="T108">
        <f>ROUND(ROUND(Q108*Source!I250, 2)*SmtRes!AK140, 2)</f>
        <v>0</v>
      </c>
      <c r="U108">
        <v>1</v>
      </c>
      <c r="Z108">
        <f>SmtRes!X140</f>
        <v>-1903398286</v>
      </c>
      <c r="AA108">
        <v>-721303525</v>
      </c>
      <c r="AB108">
        <v>-1278510661</v>
      </c>
    </row>
    <row r="109" spans="1:28" x14ac:dyDescent="0.2">
      <c r="A109">
        <f>Source!A252</f>
        <v>17</v>
      </c>
      <c r="B109">
        <v>252</v>
      </c>
      <c r="C109">
        <v>3</v>
      </c>
      <c r="D109">
        <f>Source!BI252</f>
        <v>1</v>
      </c>
      <c r="E109">
        <f>Source!FS252</f>
        <v>0</v>
      </c>
      <c r="F109" t="str">
        <f>Source!F252</f>
        <v>408-0205</v>
      </c>
      <c r="G109" t="str">
        <f>Source!G252</f>
        <v>Смесь песчано-гравийная природная обогащенная с содержанием гравия 65-75 %</v>
      </c>
      <c r="H109" t="str">
        <f>Source!H252</f>
        <v>м3</v>
      </c>
      <c r="I109">
        <f>Source!I252</f>
        <v>2.5253999999999999</v>
      </c>
      <c r="J109">
        <v>1</v>
      </c>
      <c r="K109">
        <f>Source!AC252</f>
        <v>191</v>
      </c>
      <c r="M109">
        <f>ROUND(K109*I109, 2)</f>
        <v>482.35</v>
      </c>
      <c r="N109">
        <f>Source!AC252*IF(Source!BC252&lt;&gt; 0, Source!BC252, 1)</f>
        <v>3233.63</v>
      </c>
      <c r="O109">
        <f>ROUND(N109*I109, 2)</f>
        <v>8166.21</v>
      </c>
      <c r="P109">
        <f>Source!AE252</f>
        <v>0</v>
      </c>
      <c r="R109">
        <f>ROUND(P109*I109, 2)</f>
        <v>0</v>
      </c>
      <c r="S109">
        <f>Source!AE252*IF(Source!BS252&lt;&gt; 0, Source!BS252, 1)</f>
        <v>0</v>
      </c>
      <c r="T109">
        <f>ROUND(S109*I109, 2)</f>
        <v>0</v>
      </c>
      <c r="U109">
        <v>3</v>
      </c>
      <c r="Z109">
        <f>Source!GF252</f>
        <v>-1095806176</v>
      </c>
      <c r="AA109">
        <v>-175865672</v>
      </c>
      <c r="AB109">
        <v>-1615761812</v>
      </c>
    </row>
    <row r="110" spans="1:28" x14ac:dyDescent="0.2">
      <c r="A110">
        <v>20</v>
      </c>
      <c r="B110">
        <v>155</v>
      </c>
      <c r="C110">
        <v>3</v>
      </c>
      <c r="D110">
        <v>0</v>
      </c>
      <c r="E110">
        <f>SmtRes!AV155</f>
        <v>0</v>
      </c>
      <c r="F110" t="str">
        <f>SmtRes!I155</f>
        <v>411-0001</v>
      </c>
      <c r="G110" t="str">
        <f>SmtRes!K155</f>
        <v>Вода</v>
      </c>
      <c r="H110" t="str">
        <f>SmtRes!O155</f>
        <v>м3</v>
      </c>
      <c r="I110">
        <f>SmtRes!Y155*Source!I253</f>
        <v>5.5200000000000006E-3</v>
      </c>
      <c r="J110">
        <f>SmtRes!AO155</f>
        <v>1</v>
      </c>
      <c r="K110">
        <f>SmtRes!AE155</f>
        <v>2.4700000000000002</v>
      </c>
      <c r="L110">
        <f>SmtRes!DB155</f>
        <v>0.49</v>
      </c>
      <c r="M110">
        <f>ROUND(ROUND(L110*Source!I253, 2)*1, 2)</f>
        <v>0.01</v>
      </c>
      <c r="N110">
        <f>SmtRes!AA155</f>
        <v>19.59</v>
      </c>
      <c r="O110">
        <f>ROUND(ROUND(L110*Source!I253, 2)*SmtRes!DA155, 2)</f>
        <v>0.08</v>
      </c>
      <c r="P110">
        <f>SmtRes!AG155</f>
        <v>0</v>
      </c>
      <c r="Q110">
        <f>SmtRes!DC155</f>
        <v>0</v>
      </c>
      <c r="R110">
        <f>ROUND(ROUND(Q110*Source!I253, 2)*1, 2)</f>
        <v>0</v>
      </c>
      <c r="S110">
        <f>SmtRes!AC155</f>
        <v>0</v>
      </c>
      <c r="T110">
        <f>ROUND(ROUND(Q110*Source!I253, 2)*SmtRes!AK155, 2)</f>
        <v>0</v>
      </c>
      <c r="U110">
        <v>3</v>
      </c>
      <c r="Z110">
        <f>SmtRes!X155</f>
        <v>-1418712732</v>
      </c>
      <c r="AA110">
        <v>-1607643924</v>
      </c>
      <c r="AB110">
        <v>868455164</v>
      </c>
    </row>
    <row r="111" spans="1:28" x14ac:dyDescent="0.2">
      <c r="A111">
        <v>20</v>
      </c>
      <c r="B111">
        <v>153</v>
      </c>
      <c r="C111">
        <v>3</v>
      </c>
      <c r="D111">
        <v>0</v>
      </c>
      <c r="E111">
        <f>SmtRes!AV153</f>
        <v>0</v>
      </c>
      <c r="F111" t="str">
        <f>SmtRes!I153</f>
        <v>101-1668</v>
      </c>
      <c r="G111" t="str">
        <f>SmtRes!K153</f>
        <v>Рогожа</v>
      </c>
      <c r="H111" t="str">
        <f>SmtRes!O153</f>
        <v>м2</v>
      </c>
      <c r="I111">
        <f>SmtRes!Y153*Source!I253</f>
        <v>6.8999999999999995</v>
      </c>
      <c r="J111">
        <f>SmtRes!AO153</f>
        <v>1</v>
      </c>
      <c r="K111">
        <f>SmtRes!AE153</f>
        <v>10.199999999999999</v>
      </c>
      <c r="L111">
        <f>SmtRes!DB153</f>
        <v>2550</v>
      </c>
      <c r="M111">
        <f>ROUND(ROUND(L111*Source!I253, 2)*1, 2)</f>
        <v>70.38</v>
      </c>
      <c r="N111">
        <f>SmtRes!AA153</f>
        <v>52.22</v>
      </c>
      <c r="O111">
        <f>ROUND(ROUND(L111*Source!I253, 2)*SmtRes!DA153, 2)</f>
        <v>360.35</v>
      </c>
      <c r="P111">
        <f>SmtRes!AG153</f>
        <v>0</v>
      </c>
      <c r="Q111">
        <f>SmtRes!DC153</f>
        <v>0</v>
      </c>
      <c r="R111">
        <f>ROUND(ROUND(Q111*Source!I253, 2)*1, 2)</f>
        <v>0</v>
      </c>
      <c r="S111">
        <f>SmtRes!AC153</f>
        <v>0</v>
      </c>
      <c r="T111">
        <f>ROUND(ROUND(Q111*Source!I253, 2)*SmtRes!AK153, 2)</f>
        <v>0</v>
      </c>
      <c r="U111">
        <v>3</v>
      </c>
      <c r="Z111">
        <f>SmtRes!X153</f>
        <v>-602309479</v>
      </c>
      <c r="AA111">
        <v>-1610479409</v>
      </c>
      <c r="AB111">
        <v>-1601764222</v>
      </c>
    </row>
    <row r="112" spans="1:28" x14ac:dyDescent="0.2">
      <c r="A112">
        <v>20</v>
      </c>
      <c r="B112">
        <v>152</v>
      </c>
      <c r="C112">
        <v>2</v>
      </c>
      <c r="D112">
        <v>0</v>
      </c>
      <c r="E112">
        <f>SmtRes!AV152</f>
        <v>0</v>
      </c>
      <c r="F112" t="str">
        <f>SmtRes!I152</f>
        <v>400001</v>
      </c>
      <c r="G112" t="str">
        <f>SmtRes!K152</f>
        <v>Автомобили бортовые, грузоподъемность до 5 т</v>
      </c>
      <c r="H112" t="str">
        <f>SmtRes!O152</f>
        <v>маш.-ч</v>
      </c>
      <c r="I112">
        <f>SmtRes!Y152*Source!I253</f>
        <v>3.588E-3</v>
      </c>
      <c r="J112">
        <f>SmtRes!AO152</f>
        <v>1</v>
      </c>
      <c r="K112">
        <f>SmtRes!AF152</f>
        <v>91.76</v>
      </c>
      <c r="L112">
        <f>SmtRes!DB152</f>
        <v>11.93</v>
      </c>
      <c r="M112">
        <f>ROUND(ROUND(L112*Source!I253, 2)*1, 2)</f>
        <v>0.33</v>
      </c>
      <c r="N112">
        <f>SmtRes!AB152</f>
        <v>1305.74</v>
      </c>
      <c r="O112">
        <f>ROUND(ROUND(L112*Source!I253, 2)*SmtRes!DA152, 2)</f>
        <v>4.7</v>
      </c>
      <c r="P112">
        <f>SmtRes!AG152</f>
        <v>10.35</v>
      </c>
      <c r="Q112">
        <f>SmtRes!DC152</f>
        <v>1.35</v>
      </c>
      <c r="R112">
        <f>ROUND(ROUND(Q112*Source!I253, 2)*1, 2)</f>
        <v>0.04</v>
      </c>
      <c r="S112">
        <f>SmtRes!AC152</f>
        <v>365.04</v>
      </c>
      <c r="T112">
        <f>ROUND(ROUND(Q112*Source!I253, 2)*SmtRes!AK152, 2)</f>
        <v>1.41</v>
      </c>
      <c r="U112">
        <v>2</v>
      </c>
      <c r="Z112">
        <f>SmtRes!X152</f>
        <v>-671646184</v>
      </c>
      <c r="AA112">
        <v>807713937</v>
      </c>
      <c r="AB112">
        <v>1619992053</v>
      </c>
    </row>
    <row r="113" spans="1:28" x14ac:dyDescent="0.2">
      <c r="A113">
        <v>20</v>
      </c>
      <c r="B113">
        <v>151</v>
      </c>
      <c r="C113">
        <v>2</v>
      </c>
      <c r="D113">
        <v>0</v>
      </c>
      <c r="E113">
        <f>SmtRes!AV151</f>
        <v>0</v>
      </c>
      <c r="F113" t="str">
        <f>SmtRes!I151</f>
        <v>111301</v>
      </c>
      <c r="G113" t="str">
        <f>SmtRes!K151</f>
        <v>Вибратор поверхностный</v>
      </c>
      <c r="H113" t="str">
        <f>SmtRes!O151</f>
        <v>маш.-ч</v>
      </c>
      <c r="I113">
        <f>SmtRes!Y151*Source!I253</f>
        <v>1.3248</v>
      </c>
      <c r="J113">
        <f>SmtRes!AO151</f>
        <v>1</v>
      </c>
      <c r="K113">
        <f>SmtRes!AF151</f>
        <v>0.66</v>
      </c>
      <c r="L113">
        <f>SmtRes!DB151</f>
        <v>31.68</v>
      </c>
      <c r="M113">
        <f>ROUND(ROUND(L113*Source!I253, 2)*1, 2)</f>
        <v>0.87</v>
      </c>
      <c r="N113">
        <f>SmtRes!AB151</f>
        <v>6.26</v>
      </c>
      <c r="O113">
        <f>ROUND(ROUND(L113*Source!I253, 2)*SmtRes!DA151, 2)</f>
        <v>8.25</v>
      </c>
      <c r="P113">
        <f>SmtRes!AG151</f>
        <v>0</v>
      </c>
      <c r="Q113">
        <f>SmtRes!DC151</f>
        <v>0</v>
      </c>
      <c r="R113">
        <f>ROUND(ROUND(Q113*Source!I253, 2)*1, 2)</f>
        <v>0</v>
      </c>
      <c r="S113">
        <f>SmtRes!AC151</f>
        <v>0</v>
      </c>
      <c r="T113">
        <f>ROUND(ROUND(Q113*Source!I253, 2)*SmtRes!AK151, 2)</f>
        <v>0</v>
      </c>
      <c r="U113">
        <v>2</v>
      </c>
      <c r="Z113">
        <f>SmtRes!X151</f>
        <v>736086632</v>
      </c>
      <c r="AA113">
        <v>-1529557737</v>
      </c>
      <c r="AB113">
        <v>-2061922166</v>
      </c>
    </row>
    <row r="114" spans="1:28" x14ac:dyDescent="0.2">
      <c r="A114">
        <v>20</v>
      </c>
      <c r="B114">
        <v>150</v>
      </c>
      <c r="C114">
        <v>2</v>
      </c>
      <c r="D114">
        <v>0</v>
      </c>
      <c r="E114">
        <f>SmtRes!AV150</f>
        <v>0</v>
      </c>
      <c r="F114" t="str">
        <f>SmtRes!I150</f>
        <v>020129</v>
      </c>
      <c r="G114" t="str">
        <f>SmtRes!K150</f>
        <v>Краны башенные при работе на других видах строительства 8 т</v>
      </c>
      <c r="H114" t="str">
        <f>SmtRes!O150</f>
        <v>маш.-ч</v>
      </c>
      <c r="I114">
        <f>SmtRes!Y150*Source!I253</f>
        <v>0.49680000000000002</v>
      </c>
      <c r="J114">
        <f>SmtRes!AO150</f>
        <v>1</v>
      </c>
      <c r="K114">
        <f>SmtRes!AF150</f>
        <v>103.49</v>
      </c>
      <c r="L114">
        <f>SmtRes!DB150</f>
        <v>1862.82</v>
      </c>
      <c r="M114">
        <f>ROUND(ROUND(L114*Source!I253, 2)*1, 2)</f>
        <v>51.41</v>
      </c>
      <c r="N114">
        <f>SmtRes!AB150</f>
        <v>1247.05</v>
      </c>
      <c r="O114">
        <f>ROUND(ROUND(L114*Source!I253, 2)*SmtRes!DA150, 2)</f>
        <v>619.49</v>
      </c>
      <c r="P114">
        <f>SmtRes!AG150</f>
        <v>12.1</v>
      </c>
      <c r="Q114">
        <f>SmtRes!DC150</f>
        <v>217.8</v>
      </c>
      <c r="R114">
        <f>ROUND(ROUND(Q114*Source!I253, 2)*1, 2)</f>
        <v>6.01</v>
      </c>
      <c r="S114">
        <f>SmtRes!AC150</f>
        <v>426.77</v>
      </c>
      <c r="T114">
        <f>ROUND(ROUND(Q114*Source!I253, 2)*SmtRes!AK150, 2)</f>
        <v>211.97</v>
      </c>
      <c r="U114">
        <v>2</v>
      </c>
      <c r="Z114">
        <f>SmtRes!X150</f>
        <v>1604115853</v>
      </c>
      <c r="AA114">
        <v>36607545</v>
      </c>
      <c r="AB114">
        <v>925327548</v>
      </c>
    </row>
    <row r="115" spans="1:28" x14ac:dyDescent="0.2">
      <c r="A115">
        <v>20</v>
      </c>
      <c r="B115">
        <v>148</v>
      </c>
      <c r="C115">
        <v>1</v>
      </c>
      <c r="D115">
        <v>0</v>
      </c>
      <c r="E115">
        <f>SmtRes!AV148</f>
        <v>1</v>
      </c>
      <c r="F115" t="str">
        <f>SmtRes!I148</f>
        <v>1-1020-21</v>
      </c>
      <c r="G115" t="str">
        <f>SmtRes!K148</f>
        <v>Рабочий строитель среднего разряда 2</v>
      </c>
      <c r="H115" t="str">
        <f>SmtRes!O148</f>
        <v>чел.-ч</v>
      </c>
      <c r="I115">
        <f>SmtRes!Y148*Source!I253</f>
        <v>4.968</v>
      </c>
      <c r="J115">
        <f>SmtRes!AO148</f>
        <v>1</v>
      </c>
      <c r="K115">
        <f>SmtRes!AH148</f>
        <v>7.29</v>
      </c>
      <c r="L115">
        <f>SmtRes!DB148</f>
        <v>1312.2</v>
      </c>
      <c r="M115">
        <f>ROUND(ROUND(L115*Source!I253, 2)*1, 2)</f>
        <v>36.22</v>
      </c>
      <c r="N115">
        <f>SmtRes!AD148</f>
        <v>7.29</v>
      </c>
      <c r="O115">
        <f>ROUND(ROUND(L115*Source!I253, 2)*SmtRes!DA148, 2)</f>
        <v>36.22</v>
      </c>
      <c r="P115">
        <f>SmtRes!AG148</f>
        <v>0</v>
      </c>
      <c r="Q115">
        <f>SmtRes!DC148</f>
        <v>0</v>
      </c>
      <c r="R115">
        <f>ROUND(ROUND(Q115*Source!I253, 2)*1, 2)</f>
        <v>0</v>
      </c>
      <c r="S115">
        <f>SmtRes!AC148</f>
        <v>0</v>
      </c>
      <c r="T115">
        <f>ROUND(ROUND(Q115*Source!I253, 2)*SmtRes!AK148, 2)</f>
        <v>0</v>
      </c>
      <c r="U115">
        <v>1</v>
      </c>
      <c r="Z115">
        <f>SmtRes!X148</f>
        <v>1250814213</v>
      </c>
      <c r="AA115">
        <v>777447757</v>
      </c>
      <c r="AB115">
        <v>-1697901350</v>
      </c>
    </row>
    <row r="116" spans="1:28" x14ac:dyDescent="0.2">
      <c r="A116">
        <f>Source!A255</f>
        <v>17</v>
      </c>
      <c r="B116">
        <v>255</v>
      </c>
      <c r="C116">
        <v>3</v>
      </c>
      <c r="D116">
        <f>Source!BI255</f>
        <v>1</v>
      </c>
      <c r="E116">
        <f>Source!FS255</f>
        <v>0</v>
      </c>
      <c r="F116" t="str">
        <f>Source!F255</f>
        <v>401-0067</v>
      </c>
      <c r="G116" t="str">
        <f>Source!G255</f>
        <v>Бетон тяжелый, крупность заполнителя 20 мм, класс В20 (М250)</v>
      </c>
      <c r="H116" t="str">
        <f>Source!H255</f>
        <v>м3</v>
      </c>
      <c r="I116">
        <f>Source!I255</f>
        <v>2.8151999999999999</v>
      </c>
      <c r="J116">
        <v>1</v>
      </c>
      <c r="K116">
        <f>Source!AC255</f>
        <v>635</v>
      </c>
      <c r="M116">
        <f>ROUND(K116*I116, 2)</f>
        <v>1787.65</v>
      </c>
      <c r="N116">
        <f>Source!AC255*IF(Source!BC255&lt;&gt; 0, Source!BC255, 1)</f>
        <v>7092.95</v>
      </c>
      <c r="O116">
        <f>ROUND(N116*I116, 2)</f>
        <v>19968.07</v>
      </c>
      <c r="P116">
        <f>Source!AE255</f>
        <v>0</v>
      </c>
      <c r="R116">
        <f>ROUND(P116*I116, 2)</f>
        <v>0</v>
      </c>
      <c r="S116">
        <f>Source!AE255*IF(Source!BS255&lt;&gt; 0, Source!BS255, 1)</f>
        <v>0</v>
      </c>
      <c r="T116">
        <f>ROUND(S116*I116, 2)</f>
        <v>0</v>
      </c>
      <c r="U116">
        <v>3</v>
      </c>
      <c r="Z116">
        <f>Source!GF255</f>
        <v>1509225767</v>
      </c>
      <c r="AA116">
        <v>862697478</v>
      </c>
      <c r="AB116">
        <v>-1266421498</v>
      </c>
    </row>
    <row r="117" spans="1:28" x14ac:dyDescent="0.2">
      <c r="A117">
        <v>20</v>
      </c>
      <c r="B117">
        <v>167</v>
      </c>
      <c r="C117">
        <v>2</v>
      </c>
      <c r="D117">
        <v>0</v>
      </c>
      <c r="E117">
        <f>SmtRes!AV167</f>
        <v>0</v>
      </c>
      <c r="F117" t="str">
        <f>SmtRes!I167</f>
        <v>400001</v>
      </c>
      <c r="G117" t="str">
        <f>SmtRes!K167</f>
        <v>Автомобили бортовые, грузоподъемность до 5 т</v>
      </c>
      <c r="H117" t="str">
        <f>SmtRes!O167</f>
        <v>маш.-ч</v>
      </c>
      <c r="I117">
        <f>SmtRes!Y167*Source!I257</f>
        <v>9.4799999999999995E-2</v>
      </c>
      <c r="J117">
        <f>SmtRes!AO167</f>
        <v>1</v>
      </c>
      <c r="K117">
        <f>SmtRes!AF167</f>
        <v>91.76</v>
      </c>
      <c r="L117">
        <f>SmtRes!DB167</f>
        <v>144.97999999999999</v>
      </c>
      <c r="M117">
        <f>ROUND(ROUND(L117*Source!I257, 2)*1, 2)</f>
        <v>8.6999999999999993</v>
      </c>
      <c r="N117">
        <f>SmtRes!AB167</f>
        <v>1305.74</v>
      </c>
      <c r="O117">
        <f>ROUND(ROUND(L117*Source!I257, 2)*SmtRes!DA167, 2)</f>
        <v>123.8</v>
      </c>
      <c r="P117">
        <f>SmtRes!AG167</f>
        <v>10.35</v>
      </c>
      <c r="Q117">
        <f>SmtRes!DC167</f>
        <v>16.350000000000001</v>
      </c>
      <c r="R117">
        <f>ROUND(ROUND(Q117*Source!I257, 2)*1, 2)</f>
        <v>0.98</v>
      </c>
      <c r="S117">
        <f>SmtRes!AC167</f>
        <v>365.04</v>
      </c>
      <c r="T117">
        <f>ROUND(ROUND(Q117*Source!I257, 2)*SmtRes!AK167, 2)</f>
        <v>34.56</v>
      </c>
      <c r="U117">
        <v>2</v>
      </c>
      <c r="Z117">
        <f>SmtRes!X167</f>
        <v>-671646184</v>
      </c>
      <c r="AA117">
        <v>807713937</v>
      </c>
      <c r="AB117">
        <v>1619992053</v>
      </c>
    </row>
    <row r="118" spans="1:28" x14ac:dyDescent="0.2">
      <c r="A118">
        <v>20</v>
      </c>
      <c r="B118">
        <v>166</v>
      </c>
      <c r="C118">
        <v>2</v>
      </c>
      <c r="D118">
        <v>0</v>
      </c>
      <c r="E118">
        <f>SmtRes!AV166</f>
        <v>0</v>
      </c>
      <c r="F118" t="str">
        <f>SmtRes!I166</f>
        <v>350155</v>
      </c>
      <c r="G118" t="str">
        <f>SmtRes!K166</f>
        <v>Гайковерт электрический</v>
      </c>
      <c r="H118" t="str">
        <f>SmtRes!O166</f>
        <v>маш.-ч</v>
      </c>
      <c r="I118">
        <f>SmtRes!Y166*Source!I257</f>
        <v>0.74399999999999999</v>
      </c>
      <c r="J118">
        <f>SmtRes!AO166</f>
        <v>1</v>
      </c>
      <c r="K118">
        <f>SmtRes!AF166</f>
        <v>1.1000000000000001</v>
      </c>
      <c r="L118">
        <f>SmtRes!DB166</f>
        <v>13.64</v>
      </c>
      <c r="M118">
        <f>ROUND(ROUND(L118*Source!I257, 2)*1, 2)</f>
        <v>0.82</v>
      </c>
      <c r="N118">
        <f>SmtRes!AB166</f>
        <v>7.23</v>
      </c>
      <c r="O118">
        <f>ROUND(ROUND(L118*Source!I257, 2)*SmtRes!DA166, 2)</f>
        <v>5.39</v>
      </c>
      <c r="P118">
        <f>SmtRes!AG166</f>
        <v>0</v>
      </c>
      <c r="Q118">
        <f>SmtRes!DC166</f>
        <v>0</v>
      </c>
      <c r="R118">
        <f>ROUND(ROUND(Q118*Source!I257, 2)*1, 2)</f>
        <v>0</v>
      </c>
      <c r="S118">
        <f>SmtRes!AC166</f>
        <v>0</v>
      </c>
      <c r="T118">
        <f>ROUND(ROUND(Q118*Source!I257, 2)*SmtRes!AK166, 2)</f>
        <v>0</v>
      </c>
      <c r="U118">
        <v>2</v>
      </c>
      <c r="Z118">
        <f>SmtRes!X166</f>
        <v>1272319123</v>
      </c>
      <c r="AA118">
        <v>-974242602</v>
      </c>
      <c r="AB118">
        <v>185246669</v>
      </c>
    </row>
    <row r="119" spans="1:28" x14ac:dyDescent="0.2">
      <c r="A119">
        <v>20</v>
      </c>
      <c r="B119">
        <v>165</v>
      </c>
      <c r="C119">
        <v>2</v>
      </c>
      <c r="D119">
        <v>0</v>
      </c>
      <c r="E119">
        <f>SmtRes!AV165</f>
        <v>0</v>
      </c>
      <c r="F119" t="str">
        <f>SmtRes!I165</f>
        <v>331454</v>
      </c>
      <c r="G119" t="str">
        <f>SmtRes!K165</f>
        <v>Перфоратор электрический мощностью 1,5 кВт, энергией удара до 18 Дж</v>
      </c>
      <c r="H119" t="str">
        <f>SmtRes!O165</f>
        <v>маш.-ч</v>
      </c>
      <c r="I119">
        <f>SmtRes!Y165*Source!I257</f>
        <v>0.94979999999999998</v>
      </c>
      <c r="J119">
        <f>SmtRes!AO165</f>
        <v>1</v>
      </c>
      <c r="K119">
        <f>SmtRes!AF165</f>
        <v>28.88</v>
      </c>
      <c r="L119">
        <f>SmtRes!DB165</f>
        <v>457.17</v>
      </c>
      <c r="M119">
        <f>ROUND(ROUND(L119*Source!I257, 2)*1, 2)</f>
        <v>27.43</v>
      </c>
      <c r="N119">
        <f>SmtRes!AB165</f>
        <v>106.28</v>
      </c>
      <c r="O119">
        <f>ROUND(ROUND(L119*Source!I257, 2)*SmtRes!DA165, 2)</f>
        <v>100.94</v>
      </c>
      <c r="P119">
        <f>SmtRes!AG165</f>
        <v>0</v>
      </c>
      <c r="Q119">
        <f>SmtRes!DC165</f>
        <v>0</v>
      </c>
      <c r="R119">
        <f>ROUND(ROUND(Q119*Source!I257, 2)*1, 2)</f>
        <v>0</v>
      </c>
      <c r="S119">
        <f>SmtRes!AC165</f>
        <v>0</v>
      </c>
      <c r="T119">
        <f>ROUND(ROUND(Q119*Source!I257, 2)*SmtRes!AK165, 2)</f>
        <v>0</v>
      </c>
      <c r="U119">
        <v>2</v>
      </c>
      <c r="Z119">
        <f>SmtRes!X165</f>
        <v>1888954426</v>
      </c>
      <c r="AA119">
        <v>2034753960</v>
      </c>
      <c r="AB119">
        <v>1101669221</v>
      </c>
    </row>
    <row r="120" spans="1:28" x14ac:dyDescent="0.2">
      <c r="A120">
        <v>20</v>
      </c>
      <c r="B120">
        <v>164</v>
      </c>
      <c r="C120">
        <v>2</v>
      </c>
      <c r="D120">
        <v>0</v>
      </c>
      <c r="E120">
        <f>SmtRes!AV164</f>
        <v>0</v>
      </c>
      <c r="F120" t="str">
        <f>SmtRes!I164</f>
        <v>040101</v>
      </c>
      <c r="G120" t="str">
        <f>SmtRes!K164</f>
        <v>Электростанции передвижные 2 кВт</v>
      </c>
      <c r="H120" t="str">
        <f>SmtRes!O164</f>
        <v>маш.-ч</v>
      </c>
      <c r="I120">
        <f>SmtRes!Y164*Source!I257</f>
        <v>1.6919999999999999</v>
      </c>
      <c r="J120">
        <f>SmtRes!AO164</f>
        <v>1</v>
      </c>
      <c r="K120">
        <f>SmtRes!AF164</f>
        <v>21.2</v>
      </c>
      <c r="L120">
        <f>SmtRes!DB164</f>
        <v>597.84</v>
      </c>
      <c r="M120">
        <f>ROUND(ROUND(L120*Source!I257, 2)*1, 2)</f>
        <v>35.869999999999997</v>
      </c>
      <c r="N120">
        <f>SmtRes!AB164</f>
        <v>419.97</v>
      </c>
      <c r="O120">
        <f>ROUND(ROUND(L120*Source!I257, 2)*SmtRes!DA164, 2)</f>
        <v>710.58</v>
      </c>
      <c r="P120">
        <f>SmtRes!AG164</f>
        <v>10.35</v>
      </c>
      <c r="Q120">
        <f>SmtRes!DC164</f>
        <v>291.87</v>
      </c>
      <c r="R120">
        <f>ROUND(ROUND(Q120*Source!I257, 2)*1, 2)</f>
        <v>17.510000000000002</v>
      </c>
      <c r="S120">
        <f>SmtRes!AC164</f>
        <v>365.04</v>
      </c>
      <c r="T120">
        <f>ROUND(ROUND(Q120*Source!I257, 2)*SmtRes!AK164, 2)</f>
        <v>617.58000000000004</v>
      </c>
      <c r="U120">
        <v>2</v>
      </c>
      <c r="Z120">
        <f>SmtRes!X164</f>
        <v>-314691159</v>
      </c>
      <c r="AA120">
        <v>127676659</v>
      </c>
      <c r="AB120">
        <v>1455756329</v>
      </c>
    </row>
    <row r="121" spans="1:28" x14ac:dyDescent="0.2">
      <c r="A121">
        <v>20</v>
      </c>
      <c r="B121">
        <v>162</v>
      </c>
      <c r="C121">
        <v>1</v>
      </c>
      <c r="D121">
        <v>0</v>
      </c>
      <c r="E121">
        <f>SmtRes!AV162</f>
        <v>1</v>
      </c>
      <c r="F121" t="str">
        <f>SmtRes!I162</f>
        <v>1-1030-21</v>
      </c>
      <c r="G121" t="str">
        <f>SmtRes!K162</f>
        <v>Рабочий строитель среднего разряда 3</v>
      </c>
      <c r="H121" t="str">
        <f>SmtRes!O162</f>
        <v>чел.-ч</v>
      </c>
      <c r="I121">
        <f>SmtRes!Y162*Source!I257</f>
        <v>2.6429999999999998</v>
      </c>
      <c r="J121">
        <f>SmtRes!AO162</f>
        <v>1</v>
      </c>
      <c r="K121">
        <f>SmtRes!AH162</f>
        <v>7.97</v>
      </c>
      <c r="L121">
        <f>SmtRes!DB162</f>
        <v>351.08</v>
      </c>
      <c r="M121">
        <f>ROUND(ROUND(L121*Source!I257, 2)*1, 2)</f>
        <v>21.06</v>
      </c>
      <c r="N121">
        <f>SmtRes!AD162</f>
        <v>7.97</v>
      </c>
      <c r="O121">
        <f>ROUND(ROUND(L121*Source!I257, 2)*SmtRes!DA162, 2)</f>
        <v>21.06</v>
      </c>
      <c r="P121">
        <f>SmtRes!AG162</f>
        <v>0</v>
      </c>
      <c r="Q121">
        <f>SmtRes!DC162</f>
        <v>0</v>
      </c>
      <c r="R121">
        <f>ROUND(ROUND(Q121*Source!I257, 2)*1, 2)</f>
        <v>0</v>
      </c>
      <c r="S121">
        <f>SmtRes!AC162</f>
        <v>0</v>
      </c>
      <c r="T121">
        <f>ROUND(ROUND(Q121*Source!I257, 2)*SmtRes!AK162, 2)</f>
        <v>0</v>
      </c>
      <c r="U121">
        <v>1</v>
      </c>
      <c r="Z121">
        <f>SmtRes!X162</f>
        <v>756115135</v>
      </c>
      <c r="AA121">
        <v>-103154406</v>
      </c>
      <c r="AB121">
        <v>1494462434</v>
      </c>
    </row>
    <row r="122" spans="1:28" x14ac:dyDescent="0.2">
      <c r="A122">
        <f>Source!A260</f>
        <v>17</v>
      </c>
      <c r="B122">
        <v>260</v>
      </c>
      <c r="C122">
        <v>3</v>
      </c>
      <c r="D122">
        <f>Source!BI260</f>
        <v>1</v>
      </c>
      <c r="E122">
        <f>Source!FS260</f>
        <v>0</v>
      </c>
      <c r="F122" t="str">
        <f>Source!F260</f>
        <v>103-1569</v>
      </c>
      <c r="G122" t="str">
        <f>Source!G260</f>
        <v>Трубы стальные квадратные из стали марки ст1-3сп/пс размером 60х60 мм, толщина стенки 3 мм</v>
      </c>
      <c r="H122" t="str">
        <f>Source!H260</f>
        <v>т</v>
      </c>
      <c r="I122">
        <f>Source!I260</f>
        <v>5.67E-2</v>
      </c>
      <c r="J122">
        <v>1</v>
      </c>
      <c r="K122">
        <f>Source!AC260</f>
        <v>6232.24</v>
      </c>
      <c r="M122">
        <f>ROUND(K122*I122, 2)</f>
        <v>353.37</v>
      </c>
      <c r="N122">
        <f>Source!AC260*IF(Source!BC260&lt;&gt; 0, Source!BC260, 1)</f>
        <v>66373.356</v>
      </c>
      <c r="O122">
        <f>ROUND(N122*I122, 2)</f>
        <v>3763.37</v>
      </c>
      <c r="P122">
        <f>Source!AE260</f>
        <v>0</v>
      </c>
      <c r="R122">
        <f>ROUND(P122*I122, 2)</f>
        <v>0</v>
      </c>
      <c r="S122">
        <f>Source!AE260*IF(Source!BS260&lt;&gt; 0, Source!BS260, 1)</f>
        <v>0</v>
      </c>
      <c r="T122">
        <f>ROUND(S122*I122, 2)</f>
        <v>0</v>
      </c>
      <c r="U122">
        <v>3</v>
      </c>
      <c r="Z122">
        <f>Source!GF260</f>
        <v>1851504459</v>
      </c>
      <c r="AA122">
        <v>-1552730973</v>
      </c>
      <c r="AB122">
        <v>-1312461878</v>
      </c>
    </row>
    <row r="123" spans="1:28" x14ac:dyDescent="0.2">
      <c r="A123">
        <v>20</v>
      </c>
      <c r="B123">
        <v>191</v>
      </c>
      <c r="C123">
        <v>3</v>
      </c>
      <c r="D123">
        <v>0</v>
      </c>
      <c r="E123">
        <f>SmtRes!AV191</f>
        <v>0</v>
      </c>
      <c r="F123" t="str">
        <f>SmtRes!I191</f>
        <v>508-0097</v>
      </c>
      <c r="G123" t="str">
        <f>SmtRes!K191</f>
        <v>Канат двойной свивки типа ТК, конструкции 6х19(1+6+12)+1 о.с., оцинкованный из проволок марки В, маркировочная группа 1770 н/мм2, диаметром 5,5 мм</v>
      </c>
      <c r="H123" t="str">
        <f>SmtRes!O191</f>
        <v>10 м</v>
      </c>
      <c r="I123">
        <f>SmtRes!Y191*Source!I261</f>
        <v>9.5370000000000003E-4</v>
      </c>
      <c r="J123">
        <f>SmtRes!AO191</f>
        <v>1</v>
      </c>
      <c r="K123">
        <f>SmtRes!AE191</f>
        <v>71.5</v>
      </c>
      <c r="L123">
        <f>SmtRes!DB191</f>
        <v>1.34</v>
      </c>
      <c r="M123">
        <f>ROUND(ROUND(L123*Source!I261, 2)*1, 2)</f>
        <v>7.0000000000000007E-2</v>
      </c>
      <c r="N123">
        <f>SmtRes!AA191</f>
        <v>251.68</v>
      </c>
      <c r="O123">
        <f>ROUND(ROUND(L123*Source!I261, 2)*SmtRes!DA191, 2)</f>
        <v>0.25</v>
      </c>
      <c r="P123">
        <f>SmtRes!AG191</f>
        <v>0</v>
      </c>
      <c r="Q123">
        <f>SmtRes!DC191</f>
        <v>0</v>
      </c>
      <c r="R123">
        <f>ROUND(ROUND(Q123*Source!I261, 2)*1, 2)</f>
        <v>0</v>
      </c>
      <c r="S123">
        <f>SmtRes!AC191</f>
        <v>0</v>
      </c>
      <c r="T123">
        <f>ROUND(ROUND(Q123*Source!I261, 2)*SmtRes!AK191, 2)</f>
        <v>0</v>
      </c>
      <c r="U123">
        <v>3</v>
      </c>
      <c r="Z123">
        <f>SmtRes!X191</f>
        <v>-802941189</v>
      </c>
      <c r="AA123">
        <v>233119458</v>
      </c>
      <c r="AB123">
        <v>682266845</v>
      </c>
    </row>
    <row r="124" spans="1:28" x14ac:dyDescent="0.2">
      <c r="A124">
        <v>20</v>
      </c>
      <c r="B124">
        <v>189</v>
      </c>
      <c r="C124">
        <v>3</v>
      </c>
      <c r="D124">
        <v>0</v>
      </c>
      <c r="E124">
        <f>SmtRes!AV189</f>
        <v>0</v>
      </c>
      <c r="F124" t="str">
        <f>SmtRes!I189</f>
        <v>201-0756</v>
      </c>
      <c r="G124" t="str">
        <f>SmtRes!K189</f>
        <v>Отдельные конструктивные элементы зданий и сооружений с преобладанием горячекатаных профилей, средняя масса сборочной единицы от 0,1 до 0,5 т</v>
      </c>
      <c r="H124" t="str">
        <f>SmtRes!O189</f>
        <v>т</v>
      </c>
      <c r="I124">
        <f>SmtRes!Y189*Source!I261</f>
        <v>1.0200000000000001E-5</v>
      </c>
      <c r="J124">
        <f>SmtRes!AO189</f>
        <v>1</v>
      </c>
      <c r="K124">
        <f>SmtRes!AE189</f>
        <v>7712</v>
      </c>
      <c r="L124">
        <f>SmtRes!DB189</f>
        <v>1.54</v>
      </c>
      <c r="M124">
        <f>ROUND(ROUND(L124*Source!I261, 2)*1, 2)</f>
        <v>0.08</v>
      </c>
      <c r="N124">
        <f>SmtRes!AA189</f>
        <v>119227.52</v>
      </c>
      <c r="O124">
        <f>ROUND(ROUND(L124*Source!I261, 2)*SmtRes!DA189, 2)</f>
        <v>1.24</v>
      </c>
      <c r="P124">
        <f>SmtRes!AG189</f>
        <v>0</v>
      </c>
      <c r="Q124">
        <f>SmtRes!DC189</f>
        <v>0</v>
      </c>
      <c r="R124">
        <f>ROUND(ROUND(Q124*Source!I261, 2)*1, 2)</f>
        <v>0</v>
      </c>
      <c r="S124">
        <f>SmtRes!AC189</f>
        <v>0</v>
      </c>
      <c r="T124">
        <f>ROUND(ROUND(Q124*Source!I261, 2)*SmtRes!AK189, 2)</f>
        <v>0</v>
      </c>
      <c r="U124">
        <v>3</v>
      </c>
      <c r="Z124">
        <f>SmtRes!X189</f>
        <v>1152755346</v>
      </c>
      <c r="AA124">
        <v>-527851369</v>
      </c>
      <c r="AB124">
        <v>161394910</v>
      </c>
    </row>
    <row r="125" spans="1:28" x14ac:dyDescent="0.2">
      <c r="A125">
        <v>20</v>
      </c>
      <c r="B125">
        <v>188</v>
      </c>
      <c r="C125">
        <v>3</v>
      </c>
      <c r="D125">
        <v>0</v>
      </c>
      <c r="E125">
        <f>SmtRes!AV188</f>
        <v>0</v>
      </c>
      <c r="F125" t="str">
        <f>SmtRes!I188</f>
        <v>113-0021</v>
      </c>
      <c r="G125" t="str">
        <f>SmtRes!K188</f>
        <v>Грунтовка ГФ-021 красно-коричневая</v>
      </c>
      <c r="H125" t="str">
        <f>SmtRes!O188</f>
        <v>т</v>
      </c>
      <c r="I125">
        <f>SmtRes!Y188*Source!I261</f>
        <v>1.5809999999999999E-5</v>
      </c>
      <c r="J125">
        <f>SmtRes!AO188</f>
        <v>1</v>
      </c>
      <c r="K125">
        <f>SmtRes!AE188</f>
        <v>15620</v>
      </c>
      <c r="L125">
        <f>SmtRes!DB188</f>
        <v>4.84</v>
      </c>
      <c r="M125">
        <f>ROUND(ROUND(L125*Source!I261, 2)*1, 2)</f>
        <v>0.25</v>
      </c>
      <c r="N125">
        <f>SmtRes!AA188</f>
        <v>80130.600000000006</v>
      </c>
      <c r="O125">
        <f>ROUND(ROUND(L125*Source!I261, 2)*SmtRes!DA188, 2)</f>
        <v>1.28</v>
      </c>
      <c r="P125">
        <f>SmtRes!AG188</f>
        <v>0</v>
      </c>
      <c r="Q125">
        <f>SmtRes!DC188</f>
        <v>0</v>
      </c>
      <c r="R125">
        <f>ROUND(ROUND(Q125*Source!I261, 2)*1, 2)</f>
        <v>0</v>
      </c>
      <c r="S125">
        <f>SmtRes!AC188</f>
        <v>0</v>
      </c>
      <c r="T125">
        <f>ROUND(ROUND(Q125*Source!I261, 2)*SmtRes!AK188, 2)</f>
        <v>0</v>
      </c>
      <c r="U125">
        <v>3</v>
      </c>
      <c r="Z125">
        <f>SmtRes!X188</f>
        <v>-763406924</v>
      </c>
      <c r="AA125">
        <v>-232389014</v>
      </c>
      <c r="AB125">
        <v>-1628321020</v>
      </c>
    </row>
    <row r="126" spans="1:28" x14ac:dyDescent="0.2">
      <c r="A126">
        <v>20</v>
      </c>
      <c r="B126">
        <v>187</v>
      </c>
      <c r="C126">
        <v>3</v>
      </c>
      <c r="D126">
        <v>0</v>
      </c>
      <c r="E126">
        <f>SmtRes!AV187</f>
        <v>0</v>
      </c>
      <c r="F126" t="str">
        <f>SmtRes!I187</f>
        <v>102-0023</v>
      </c>
      <c r="G126" t="str">
        <f>SmtRes!K187</f>
        <v>Бруски обрезные хвойных пород длиной 4-6,5 м, шириной 75-150 мм, толщиной 40-75 мм, I сорта</v>
      </c>
      <c r="H126" t="str">
        <f>SmtRes!O187</f>
        <v>м3</v>
      </c>
      <c r="I126">
        <f>SmtRes!Y187*Source!I261</f>
        <v>5.253E-5</v>
      </c>
      <c r="J126">
        <f>SmtRes!AO187</f>
        <v>1</v>
      </c>
      <c r="K126">
        <f>SmtRes!AE187</f>
        <v>1421</v>
      </c>
      <c r="L126">
        <f>SmtRes!DB187</f>
        <v>1.46</v>
      </c>
      <c r="M126">
        <f>ROUND(ROUND(L126*Source!I261, 2)*1, 2)</f>
        <v>7.0000000000000007E-2</v>
      </c>
      <c r="N126">
        <f>SmtRes!AA187</f>
        <v>18572.47</v>
      </c>
      <c r="O126">
        <f>ROUND(ROUND(L126*Source!I261, 2)*SmtRes!DA187, 2)</f>
        <v>0.91</v>
      </c>
      <c r="P126">
        <f>SmtRes!AG187</f>
        <v>0</v>
      </c>
      <c r="Q126">
        <f>SmtRes!DC187</f>
        <v>0</v>
      </c>
      <c r="R126">
        <f>ROUND(ROUND(Q126*Source!I261, 2)*1, 2)</f>
        <v>0</v>
      </c>
      <c r="S126">
        <f>SmtRes!AC187</f>
        <v>0</v>
      </c>
      <c r="T126">
        <f>ROUND(ROUND(Q126*Source!I261, 2)*SmtRes!AK187, 2)</f>
        <v>0</v>
      </c>
      <c r="U126">
        <v>3</v>
      </c>
      <c r="Z126">
        <f>SmtRes!X187</f>
        <v>579634616</v>
      </c>
      <c r="AA126">
        <v>-149810444</v>
      </c>
      <c r="AB126">
        <v>-1697308160</v>
      </c>
    </row>
    <row r="127" spans="1:28" x14ac:dyDescent="0.2">
      <c r="A127">
        <v>20</v>
      </c>
      <c r="B127">
        <v>186</v>
      </c>
      <c r="C127">
        <v>3</v>
      </c>
      <c r="D127">
        <v>0</v>
      </c>
      <c r="E127">
        <f>SmtRes!AV186</f>
        <v>0</v>
      </c>
      <c r="F127" t="str">
        <f>SmtRes!I186</f>
        <v>101-2467</v>
      </c>
      <c r="G127" t="str">
        <f>SmtRes!K186</f>
        <v>Растворитель марки Р-4</v>
      </c>
      <c r="H127" t="str">
        <f>SmtRes!O186</f>
        <v>т</v>
      </c>
      <c r="I127">
        <f>SmtRes!Y186*Source!I261</f>
        <v>3.0599999999999998E-5</v>
      </c>
      <c r="J127">
        <f>SmtRes!AO186</f>
        <v>1</v>
      </c>
      <c r="K127">
        <f>SmtRes!AE186</f>
        <v>9420</v>
      </c>
      <c r="L127">
        <f>SmtRes!DB186</f>
        <v>5.65</v>
      </c>
      <c r="M127">
        <f>ROUND(ROUND(L127*Source!I261, 2)*1, 2)</f>
        <v>0.28999999999999998</v>
      </c>
      <c r="N127">
        <f>SmtRes!AA186</f>
        <v>72063</v>
      </c>
      <c r="O127">
        <f>ROUND(ROUND(L127*Source!I261, 2)*SmtRes!DA186, 2)</f>
        <v>2.2200000000000002</v>
      </c>
      <c r="P127">
        <f>SmtRes!AG186</f>
        <v>0</v>
      </c>
      <c r="Q127">
        <f>SmtRes!DC186</f>
        <v>0</v>
      </c>
      <c r="R127">
        <f>ROUND(ROUND(Q127*Source!I261, 2)*1, 2)</f>
        <v>0</v>
      </c>
      <c r="S127">
        <f>SmtRes!AC186</f>
        <v>0</v>
      </c>
      <c r="T127">
        <f>ROUND(ROUND(Q127*Source!I261, 2)*SmtRes!AK186, 2)</f>
        <v>0</v>
      </c>
      <c r="U127">
        <v>3</v>
      </c>
      <c r="Z127">
        <f>SmtRes!X186</f>
        <v>-250432139</v>
      </c>
      <c r="AA127">
        <v>1739873944</v>
      </c>
      <c r="AB127">
        <v>1068711965</v>
      </c>
    </row>
    <row r="128" spans="1:28" x14ac:dyDescent="0.2">
      <c r="A128">
        <v>20</v>
      </c>
      <c r="B128">
        <v>185</v>
      </c>
      <c r="C128">
        <v>3</v>
      </c>
      <c r="D128">
        <v>0</v>
      </c>
      <c r="E128">
        <f>SmtRes!AV185</f>
        <v>0</v>
      </c>
      <c r="F128" t="str">
        <f>SmtRes!I185</f>
        <v>101-2278</v>
      </c>
      <c r="G128" t="str">
        <f>SmtRes!K185</f>
        <v>Пропан-бутан, смесь техническая</v>
      </c>
      <c r="H128" t="str">
        <f>SmtRes!O185</f>
        <v>кг</v>
      </c>
      <c r="I128">
        <f>SmtRes!Y185*Source!I261</f>
        <v>1.8359999999999998E-2</v>
      </c>
      <c r="J128">
        <f>SmtRes!AO185</f>
        <v>1</v>
      </c>
      <c r="K128">
        <f>SmtRes!AE185</f>
        <v>6.62</v>
      </c>
      <c r="L128">
        <f>SmtRes!DB185</f>
        <v>2.38</v>
      </c>
      <c r="M128">
        <f>ROUND(ROUND(L128*Source!I261, 2)*1, 2)</f>
        <v>0.12</v>
      </c>
      <c r="N128">
        <f>SmtRes!AA185</f>
        <v>53.09</v>
      </c>
      <c r="O128">
        <f>ROUND(ROUND(L128*Source!I261, 2)*SmtRes!DA185, 2)</f>
        <v>0.96</v>
      </c>
      <c r="P128">
        <f>SmtRes!AG185</f>
        <v>0</v>
      </c>
      <c r="Q128">
        <f>SmtRes!DC185</f>
        <v>0</v>
      </c>
      <c r="R128">
        <f>ROUND(ROUND(Q128*Source!I261, 2)*1, 2)</f>
        <v>0</v>
      </c>
      <c r="S128">
        <f>SmtRes!AC185</f>
        <v>0</v>
      </c>
      <c r="T128">
        <f>ROUND(ROUND(Q128*Source!I261, 2)*SmtRes!AK185, 2)</f>
        <v>0</v>
      </c>
      <c r="U128">
        <v>3</v>
      </c>
      <c r="Z128">
        <f>SmtRes!X185</f>
        <v>873943321</v>
      </c>
      <c r="AA128">
        <v>-395631024</v>
      </c>
      <c r="AB128">
        <v>1803414858</v>
      </c>
    </row>
    <row r="129" spans="1:28" x14ac:dyDescent="0.2">
      <c r="A129">
        <v>20</v>
      </c>
      <c r="B129">
        <v>184</v>
      </c>
      <c r="C129">
        <v>3</v>
      </c>
      <c r="D129">
        <v>0</v>
      </c>
      <c r="E129">
        <f>SmtRes!AV184</f>
        <v>0</v>
      </c>
      <c r="F129" t="str">
        <f>SmtRes!I184</f>
        <v>101-1805</v>
      </c>
      <c r="G129" t="str">
        <f>SmtRes!K184</f>
        <v>Гвозди строительные</v>
      </c>
      <c r="H129" t="str">
        <f>SmtRes!O184</f>
        <v>т</v>
      </c>
      <c r="I129">
        <f>SmtRes!Y184*Source!I261</f>
        <v>5.0999999999999999E-7</v>
      </c>
      <c r="J129">
        <f>SmtRes!AO184</f>
        <v>1</v>
      </c>
      <c r="K129">
        <f>SmtRes!AE184</f>
        <v>12936</v>
      </c>
      <c r="L129">
        <f>SmtRes!DB184</f>
        <v>0.13</v>
      </c>
      <c r="M129">
        <f>ROUND(ROUND(L129*Source!I261, 2)*1, 2)</f>
        <v>0.01</v>
      </c>
      <c r="N129">
        <f>SmtRes!AA184</f>
        <v>111120.24</v>
      </c>
      <c r="O129">
        <f>ROUND(ROUND(L129*Source!I261, 2)*SmtRes!DA184, 2)</f>
        <v>0.09</v>
      </c>
      <c r="P129">
        <f>SmtRes!AG184</f>
        <v>0</v>
      </c>
      <c r="Q129">
        <f>SmtRes!DC184</f>
        <v>0</v>
      </c>
      <c r="R129">
        <f>ROUND(ROUND(Q129*Source!I261, 2)*1, 2)</f>
        <v>0</v>
      </c>
      <c r="S129">
        <f>SmtRes!AC184</f>
        <v>0</v>
      </c>
      <c r="T129">
        <f>ROUND(ROUND(Q129*Source!I261, 2)*SmtRes!AK184, 2)</f>
        <v>0</v>
      </c>
      <c r="U129">
        <v>3</v>
      </c>
      <c r="Z129">
        <f>SmtRes!X184</f>
        <v>-667930777</v>
      </c>
      <c r="AA129">
        <v>73813288</v>
      </c>
      <c r="AB129">
        <v>1198263553</v>
      </c>
    </row>
    <row r="130" spans="1:28" x14ac:dyDescent="0.2">
      <c r="A130">
        <v>20</v>
      </c>
      <c r="B130">
        <v>183</v>
      </c>
      <c r="C130">
        <v>3</v>
      </c>
      <c r="D130">
        <v>0</v>
      </c>
      <c r="E130">
        <f>SmtRes!AV183</f>
        <v>0</v>
      </c>
      <c r="F130" t="str">
        <f>SmtRes!I183</f>
        <v>101-1714</v>
      </c>
      <c r="G130" t="str">
        <f>SmtRes!K183</f>
        <v>Болты с гайками и шайбами строительные</v>
      </c>
      <c r="H130" t="str">
        <f>SmtRes!O183</f>
        <v>т</v>
      </c>
      <c r="I130">
        <f>SmtRes!Y183*Source!I261</f>
        <v>1.0709999999999999E-3</v>
      </c>
      <c r="J130">
        <f>SmtRes!AO183</f>
        <v>1</v>
      </c>
      <c r="K130">
        <f>SmtRes!AE183</f>
        <v>9040.01</v>
      </c>
      <c r="L130">
        <f>SmtRes!DB183</f>
        <v>189.84</v>
      </c>
      <c r="M130">
        <f>ROUND(ROUND(L130*Source!I261, 2)*1, 2)</f>
        <v>9.68</v>
      </c>
      <c r="N130">
        <f>SmtRes!AA183</f>
        <v>208824.23</v>
      </c>
      <c r="O130">
        <f>ROUND(ROUND(L130*Source!I261, 2)*SmtRes!DA183, 2)</f>
        <v>223.61</v>
      </c>
      <c r="P130">
        <f>SmtRes!AG183</f>
        <v>0</v>
      </c>
      <c r="Q130">
        <f>SmtRes!DC183</f>
        <v>0</v>
      </c>
      <c r="R130">
        <f>ROUND(ROUND(Q130*Source!I261, 2)*1, 2)</f>
        <v>0</v>
      </c>
      <c r="S130">
        <f>SmtRes!AC183</f>
        <v>0</v>
      </c>
      <c r="T130">
        <f>ROUND(ROUND(Q130*Source!I261, 2)*SmtRes!AK183, 2)</f>
        <v>0</v>
      </c>
      <c r="U130">
        <v>3</v>
      </c>
      <c r="Z130">
        <f>SmtRes!X183</f>
        <v>-384985709</v>
      </c>
      <c r="AA130">
        <v>1357882990</v>
      </c>
      <c r="AB130">
        <v>328055112</v>
      </c>
    </row>
    <row r="131" spans="1:28" x14ac:dyDescent="0.2">
      <c r="A131">
        <v>20</v>
      </c>
      <c r="B131">
        <v>182</v>
      </c>
      <c r="C131">
        <v>3</v>
      </c>
      <c r="D131">
        <v>0</v>
      </c>
      <c r="E131">
        <f>SmtRes!AV182</f>
        <v>0</v>
      </c>
      <c r="F131" t="str">
        <f>SmtRes!I182</f>
        <v>101-1513</v>
      </c>
      <c r="G131" t="str">
        <f>SmtRes!K182</f>
        <v>Электроды диаметром 4 мм Э42</v>
      </c>
      <c r="H131" t="str">
        <f>SmtRes!O182</f>
        <v>т</v>
      </c>
      <c r="I131">
        <f>SmtRes!Y182*Source!I261</f>
        <v>2.2439999999999999E-5</v>
      </c>
      <c r="J131">
        <f>SmtRes!AO182</f>
        <v>1</v>
      </c>
      <c r="K131">
        <f>SmtRes!AE182</f>
        <v>9750</v>
      </c>
      <c r="L131">
        <f>SmtRes!DB182</f>
        <v>4.29</v>
      </c>
      <c r="M131">
        <f>ROUND(ROUND(L131*Source!I261, 2)*1, 2)</f>
        <v>0.22</v>
      </c>
      <c r="N131">
        <f>SmtRes!AA182</f>
        <v>119730</v>
      </c>
      <c r="O131">
        <f>ROUND(ROUND(L131*Source!I261, 2)*SmtRes!DA182, 2)</f>
        <v>2.7</v>
      </c>
      <c r="P131">
        <f>SmtRes!AG182</f>
        <v>0</v>
      </c>
      <c r="Q131">
        <f>SmtRes!DC182</f>
        <v>0</v>
      </c>
      <c r="R131">
        <f>ROUND(ROUND(Q131*Source!I261, 2)*1, 2)</f>
        <v>0</v>
      </c>
      <c r="S131">
        <f>SmtRes!AC182</f>
        <v>0</v>
      </c>
      <c r="T131">
        <f>ROUND(ROUND(Q131*Source!I261, 2)*SmtRes!AK182, 2)</f>
        <v>0</v>
      </c>
      <c r="U131">
        <v>3</v>
      </c>
      <c r="Z131">
        <f>SmtRes!X182</f>
        <v>1483167196</v>
      </c>
      <c r="AA131">
        <v>1048653327</v>
      </c>
      <c r="AB131">
        <v>1673140179</v>
      </c>
    </row>
    <row r="132" spans="1:28" x14ac:dyDescent="0.2">
      <c r="A132">
        <v>20</v>
      </c>
      <c r="B132">
        <v>181</v>
      </c>
      <c r="C132">
        <v>3</v>
      </c>
      <c r="D132">
        <v>0</v>
      </c>
      <c r="E132">
        <f>SmtRes!AV181</f>
        <v>0</v>
      </c>
      <c r="F132" t="str">
        <f>SmtRes!I181</f>
        <v>101-1019</v>
      </c>
      <c r="G132" t="str">
        <f>SmtRes!K181</f>
        <v>Швеллеры № 40 из стали марки Ст0</v>
      </c>
      <c r="H132" t="str">
        <f>SmtRes!O181</f>
        <v>т</v>
      </c>
      <c r="I132">
        <f>SmtRes!Y181*Source!I261</f>
        <v>9.8939999999999998E-5</v>
      </c>
      <c r="J132">
        <f>SmtRes!AO181</f>
        <v>1</v>
      </c>
      <c r="K132">
        <f>SmtRes!AE181</f>
        <v>5191</v>
      </c>
      <c r="L132">
        <f>SmtRes!DB181</f>
        <v>10.07</v>
      </c>
      <c r="M132">
        <f>ROUND(ROUND(L132*Source!I261, 2)*1, 2)</f>
        <v>0.51</v>
      </c>
      <c r="N132">
        <f>SmtRes!AA181</f>
        <v>72674</v>
      </c>
      <c r="O132">
        <f>ROUND(ROUND(L132*Source!I261, 2)*SmtRes!DA181, 2)</f>
        <v>7.14</v>
      </c>
      <c r="P132">
        <f>SmtRes!AG181</f>
        <v>0</v>
      </c>
      <c r="Q132">
        <f>SmtRes!DC181</f>
        <v>0</v>
      </c>
      <c r="R132">
        <f>ROUND(ROUND(Q132*Source!I261, 2)*1, 2)</f>
        <v>0</v>
      </c>
      <c r="S132">
        <f>SmtRes!AC181</f>
        <v>0</v>
      </c>
      <c r="T132">
        <f>ROUND(ROUND(Q132*Source!I261, 2)*SmtRes!AK181, 2)</f>
        <v>0</v>
      </c>
      <c r="U132">
        <v>3</v>
      </c>
      <c r="Z132">
        <f>SmtRes!X181</f>
        <v>-833443196</v>
      </c>
      <c r="AA132">
        <v>478577553</v>
      </c>
      <c r="AB132">
        <v>-376595282</v>
      </c>
    </row>
    <row r="133" spans="1:28" x14ac:dyDescent="0.2">
      <c r="A133">
        <v>20</v>
      </c>
      <c r="B133">
        <v>180</v>
      </c>
      <c r="C133">
        <v>3</v>
      </c>
      <c r="D133">
        <v>0</v>
      </c>
      <c r="E133">
        <f>SmtRes!AV180</f>
        <v>0</v>
      </c>
      <c r="F133" t="str">
        <f>SmtRes!I180</f>
        <v>101-0797</v>
      </c>
      <c r="G133" t="str">
        <f>SmtRes!K180</f>
        <v>Проволока горячекатаная в мотках, диаметром 6,3-6,5 мм</v>
      </c>
      <c r="H133" t="str">
        <f>SmtRes!O180</f>
        <v>т</v>
      </c>
      <c r="I133">
        <f>SmtRes!Y180*Source!I261</f>
        <v>1.53E-6</v>
      </c>
      <c r="J133">
        <f>SmtRes!AO180</f>
        <v>1</v>
      </c>
      <c r="K133">
        <f>SmtRes!AE180</f>
        <v>4455</v>
      </c>
      <c r="L133">
        <f>SmtRes!DB180</f>
        <v>0.13</v>
      </c>
      <c r="M133">
        <f>ROUND(ROUND(L133*Source!I261, 2)*1, 2)</f>
        <v>0.01</v>
      </c>
      <c r="N133">
        <f>SmtRes!AA180</f>
        <v>31452.3</v>
      </c>
      <c r="O133">
        <f>ROUND(ROUND(L133*Source!I261, 2)*SmtRes!DA180, 2)</f>
        <v>7.0000000000000007E-2</v>
      </c>
      <c r="P133">
        <f>SmtRes!AG180</f>
        <v>0</v>
      </c>
      <c r="Q133">
        <f>SmtRes!DC180</f>
        <v>0</v>
      </c>
      <c r="R133">
        <f>ROUND(ROUND(Q133*Source!I261, 2)*1, 2)</f>
        <v>0</v>
      </c>
      <c r="S133">
        <f>SmtRes!AC180</f>
        <v>0</v>
      </c>
      <c r="T133">
        <f>ROUND(ROUND(Q133*Source!I261, 2)*SmtRes!AK180, 2)</f>
        <v>0</v>
      </c>
      <c r="U133">
        <v>3</v>
      </c>
      <c r="Z133">
        <f>SmtRes!X180</f>
        <v>1941264678</v>
      </c>
      <c r="AA133">
        <v>376479924</v>
      </c>
      <c r="AB133">
        <v>-456759606</v>
      </c>
    </row>
    <row r="134" spans="1:28" x14ac:dyDescent="0.2">
      <c r="A134">
        <v>20</v>
      </c>
      <c r="B134">
        <v>179</v>
      </c>
      <c r="C134">
        <v>3</v>
      </c>
      <c r="D134">
        <v>0</v>
      </c>
      <c r="E134">
        <f>SmtRes!AV179</f>
        <v>0</v>
      </c>
      <c r="F134" t="str">
        <f>SmtRes!I179</f>
        <v>101-0324</v>
      </c>
      <c r="G134" t="str">
        <f>SmtRes!K179</f>
        <v>Кислород технический газообразный</v>
      </c>
      <c r="H134" t="str">
        <f>SmtRes!O179</f>
        <v>м3</v>
      </c>
      <c r="I134">
        <f>SmtRes!Y179*Source!I261</f>
        <v>6.1199999999999991E-2</v>
      </c>
      <c r="J134">
        <f>SmtRes!AO179</f>
        <v>1</v>
      </c>
      <c r="K134">
        <f>SmtRes!AE179</f>
        <v>6.22</v>
      </c>
      <c r="L134">
        <f>SmtRes!DB179</f>
        <v>7.46</v>
      </c>
      <c r="M134">
        <f>ROUND(ROUND(L134*Source!I261, 2)*1, 2)</f>
        <v>0.38</v>
      </c>
      <c r="N134">
        <f>SmtRes!AA179</f>
        <v>118.62</v>
      </c>
      <c r="O134">
        <f>ROUND(ROUND(L134*Source!I261, 2)*SmtRes!DA179, 2)</f>
        <v>7.25</v>
      </c>
      <c r="P134">
        <f>SmtRes!AG179</f>
        <v>0</v>
      </c>
      <c r="Q134">
        <f>SmtRes!DC179</f>
        <v>0</v>
      </c>
      <c r="R134">
        <f>ROUND(ROUND(Q134*Source!I261, 2)*1, 2)</f>
        <v>0</v>
      </c>
      <c r="S134">
        <f>SmtRes!AC179</f>
        <v>0</v>
      </c>
      <c r="T134">
        <f>ROUND(ROUND(Q134*Source!I261, 2)*SmtRes!AK179, 2)</f>
        <v>0</v>
      </c>
      <c r="U134">
        <v>3</v>
      </c>
      <c r="Z134">
        <f>SmtRes!X179</f>
        <v>-821751618</v>
      </c>
      <c r="AA134">
        <v>2128337316</v>
      </c>
      <c r="AB134">
        <v>-1112411388</v>
      </c>
    </row>
    <row r="135" spans="1:28" x14ac:dyDescent="0.2">
      <c r="A135">
        <v>20</v>
      </c>
      <c r="B135">
        <v>178</v>
      </c>
      <c r="C135">
        <v>3</v>
      </c>
      <c r="D135">
        <v>0</v>
      </c>
      <c r="E135">
        <f>SmtRes!AV178</f>
        <v>0</v>
      </c>
      <c r="F135" t="str">
        <f>SmtRes!I178</f>
        <v>101-0309</v>
      </c>
      <c r="G135" t="str">
        <f>SmtRes!K178</f>
        <v>Канаты пеньковые пропитанные</v>
      </c>
      <c r="H135" t="str">
        <f>SmtRes!O178</f>
        <v>т</v>
      </c>
      <c r="I135">
        <f>SmtRes!Y178*Source!I261</f>
        <v>5.1000000000000003E-6</v>
      </c>
      <c r="J135">
        <f>SmtRes!AO178</f>
        <v>1</v>
      </c>
      <c r="K135">
        <f>SmtRes!AE178</f>
        <v>37900</v>
      </c>
      <c r="L135">
        <f>SmtRes!DB178</f>
        <v>3.79</v>
      </c>
      <c r="M135">
        <f>ROUND(ROUND(L135*Source!I261, 2)*1, 2)</f>
        <v>0.19</v>
      </c>
      <c r="N135">
        <f>SmtRes!AA178</f>
        <v>231948</v>
      </c>
      <c r="O135">
        <f>ROUND(ROUND(L135*Source!I261, 2)*SmtRes!DA178, 2)</f>
        <v>1.1599999999999999</v>
      </c>
      <c r="P135">
        <f>SmtRes!AG178</f>
        <v>0</v>
      </c>
      <c r="Q135">
        <f>SmtRes!DC178</f>
        <v>0</v>
      </c>
      <c r="R135">
        <f>ROUND(ROUND(Q135*Source!I261, 2)*1, 2)</f>
        <v>0</v>
      </c>
      <c r="S135">
        <f>SmtRes!AC178</f>
        <v>0</v>
      </c>
      <c r="T135">
        <f>ROUND(ROUND(Q135*Source!I261, 2)*SmtRes!AK178, 2)</f>
        <v>0</v>
      </c>
      <c r="U135">
        <v>3</v>
      </c>
      <c r="Z135">
        <f>SmtRes!X178</f>
        <v>-1280064888</v>
      </c>
      <c r="AA135">
        <v>-863405888</v>
      </c>
      <c r="AB135">
        <v>1686556190</v>
      </c>
    </row>
    <row r="136" spans="1:28" x14ac:dyDescent="0.2">
      <c r="A136">
        <v>20</v>
      </c>
      <c r="B136">
        <v>177</v>
      </c>
      <c r="C136">
        <v>2</v>
      </c>
      <c r="D136">
        <v>0</v>
      </c>
      <c r="E136">
        <f>SmtRes!AV177</f>
        <v>0</v>
      </c>
      <c r="F136" t="str">
        <f>SmtRes!I177</f>
        <v>400001</v>
      </c>
      <c r="G136" t="str">
        <f>SmtRes!K177</f>
        <v>Автомобили бортовые, грузоподъемность до 5 т</v>
      </c>
      <c r="H136" t="str">
        <f>SmtRes!O177</f>
        <v>маш.-ч</v>
      </c>
      <c r="I136">
        <f>SmtRes!Y177*Source!I261</f>
        <v>9.689999999999999E-3</v>
      </c>
      <c r="J136">
        <f>SmtRes!AO177</f>
        <v>1</v>
      </c>
      <c r="K136">
        <f>SmtRes!AF177</f>
        <v>91.76</v>
      </c>
      <c r="L136">
        <f>SmtRes!DB177</f>
        <v>17.43</v>
      </c>
      <c r="M136">
        <f>ROUND(ROUND(L136*Source!I261, 2)*1, 2)</f>
        <v>0.89</v>
      </c>
      <c r="N136">
        <f>SmtRes!AB177</f>
        <v>1305.74</v>
      </c>
      <c r="O136">
        <f>ROUND(ROUND(L136*Source!I261, 2)*SmtRes!DA177, 2)</f>
        <v>12.66</v>
      </c>
      <c r="P136">
        <f>SmtRes!AG177</f>
        <v>10.35</v>
      </c>
      <c r="Q136">
        <f>SmtRes!DC177</f>
        <v>1.97</v>
      </c>
      <c r="R136">
        <f>ROUND(ROUND(Q136*Source!I261, 2)*1, 2)</f>
        <v>0.1</v>
      </c>
      <c r="S136">
        <f>SmtRes!AC177</f>
        <v>365.04</v>
      </c>
      <c r="T136">
        <f>ROUND(ROUND(Q136*Source!I261, 2)*SmtRes!AK177, 2)</f>
        <v>3.53</v>
      </c>
      <c r="U136">
        <v>2</v>
      </c>
      <c r="Z136">
        <f>SmtRes!X177</f>
        <v>-671646184</v>
      </c>
      <c r="AA136">
        <v>807713937</v>
      </c>
      <c r="AB136">
        <v>1619992053</v>
      </c>
    </row>
    <row r="137" spans="1:28" x14ac:dyDescent="0.2">
      <c r="A137">
        <v>20</v>
      </c>
      <c r="B137">
        <v>176</v>
      </c>
      <c r="C137">
        <v>2</v>
      </c>
      <c r="D137">
        <v>0</v>
      </c>
      <c r="E137">
        <f>SmtRes!AV176</f>
        <v>0</v>
      </c>
      <c r="F137" t="str">
        <f>SmtRes!I176</f>
        <v>041000</v>
      </c>
      <c r="G137" t="str">
        <f>SmtRes!K176</f>
        <v>Преобразователи сварочные с номинальным сварочным током 315-500 А</v>
      </c>
      <c r="H137" t="str">
        <f>SmtRes!O176</f>
        <v>маш.-ч</v>
      </c>
      <c r="I137">
        <f>SmtRes!Y176*Source!I261</f>
        <v>5.1000000000000004E-3</v>
      </c>
      <c r="J137">
        <f>SmtRes!AO176</f>
        <v>1</v>
      </c>
      <c r="K137">
        <f>SmtRes!AF176</f>
        <v>9.6999999999999993</v>
      </c>
      <c r="L137">
        <f>SmtRes!DB176</f>
        <v>0.97</v>
      </c>
      <c r="M137">
        <f>ROUND(ROUND(L137*Source!I261, 2)*1, 2)</f>
        <v>0.05</v>
      </c>
      <c r="N137">
        <f>SmtRes!AB176</f>
        <v>116.79</v>
      </c>
      <c r="O137">
        <f>ROUND(ROUND(L137*Source!I261, 2)*SmtRes!DA176, 2)</f>
        <v>0.6</v>
      </c>
      <c r="P137">
        <f>SmtRes!AG176</f>
        <v>0</v>
      </c>
      <c r="Q137">
        <f>SmtRes!DC176</f>
        <v>0</v>
      </c>
      <c r="R137">
        <f>ROUND(ROUND(Q137*Source!I261, 2)*1, 2)</f>
        <v>0</v>
      </c>
      <c r="S137">
        <f>SmtRes!AC176</f>
        <v>0</v>
      </c>
      <c r="T137">
        <f>ROUND(ROUND(Q137*Source!I261, 2)*SmtRes!AK176, 2)</f>
        <v>0</v>
      </c>
      <c r="U137">
        <v>2</v>
      </c>
      <c r="Z137">
        <f>SmtRes!X176</f>
        <v>1565869296</v>
      </c>
      <c r="AA137">
        <v>-932489371</v>
      </c>
      <c r="AB137">
        <v>642182244</v>
      </c>
    </row>
    <row r="138" spans="1:28" x14ac:dyDescent="0.2">
      <c r="A138">
        <v>20</v>
      </c>
      <c r="B138">
        <v>175</v>
      </c>
      <c r="C138">
        <v>2</v>
      </c>
      <c r="D138">
        <v>0</v>
      </c>
      <c r="E138">
        <f>SmtRes!AV175</f>
        <v>0</v>
      </c>
      <c r="F138" t="str">
        <f>SmtRes!I175</f>
        <v>040504</v>
      </c>
      <c r="G138" t="str">
        <f>SmtRes!K175</f>
        <v>Аппарат для газовой сварки и резки</v>
      </c>
      <c r="H138" t="str">
        <f>SmtRes!O175</f>
        <v>маш.-ч</v>
      </c>
      <c r="I138">
        <f>SmtRes!Y175*Source!I261</f>
        <v>7.4459999999999998E-2</v>
      </c>
      <c r="J138">
        <f>SmtRes!AO175</f>
        <v>1</v>
      </c>
      <c r="K138">
        <f>SmtRes!AF175</f>
        <v>1.43</v>
      </c>
      <c r="L138">
        <f>SmtRes!DB175</f>
        <v>2.09</v>
      </c>
      <c r="M138">
        <f>ROUND(ROUND(L138*Source!I261, 2)*1, 2)</f>
        <v>0.11</v>
      </c>
      <c r="N138">
        <f>SmtRes!AB175</f>
        <v>9.35</v>
      </c>
      <c r="O138">
        <f>ROUND(ROUND(L138*Source!I261, 2)*SmtRes!DA175, 2)</f>
        <v>0.72</v>
      </c>
      <c r="P138">
        <f>SmtRes!AG175</f>
        <v>0</v>
      </c>
      <c r="Q138">
        <f>SmtRes!DC175</f>
        <v>0</v>
      </c>
      <c r="R138">
        <f>ROUND(ROUND(Q138*Source!I261, 2)*1, 2)</f>
        <v>0</v>
      </c>
      <c r="S138">
        <f>SmtRes!AC175</f>
        <v>0</v>
      </c>
      <c r="T138">
        <f>ROUND(ROUND(Q138*Source!I261, 2)*SmtRes!AK175, 2)</f>
        <v>0</v>
      </c>
      <c r="U138">
        <v>2</v>
      </c>
      <c r="Z138">
        <f>SmtRes!X175</f>
        <v>4083802</v>
      </c>
      <c r="AA138">
        <v>-1138127538</v>
      </c>
      <c r="AB138">
        <v>1695468324</v>
      </c>
    </row>
    <row r="139" spans="1:28" x14ac:dyDescent="0.2">
      <c r="A139">
        <v>20</v>
      </c>
      <c r="B139">
        <v>174</v>
      </c>
      <c r="C139">
        <v>2</v>
      </c>
      <c r="D139">
        <v>0</v>
      </c>
      <c r="E139">
        <f>SmtRes!AV174</f>
        <v>0</v>
      </c>
      <c r="F139" t="str">
        <f>SmtRes!I174</f>
        <v>021244</v>
      </c>
      <c r="G139" t="str">
        <f>SmtRes!K174</f>
        <v>Краны на гусеничном ходу при работе на других видах строительства 25 т</v>
      </c>
      <c r="H139" t="str">
        <f>SmtRes!O174</f>
        <v>маш.-ч</v>
      </c>
      <c r="I139">
        <f>SmtRes!Y174*Source!I261</f>
        <v>0.18359999999999999</v>
      </c>
      <c r="J139">
        <f>SmtRes!AO174</f>
        <v>1</v>
      </c>
      <c r="K139">
        <f>SmtRes!AF174</f>
        <v>142.33000000000001</v>
      </c>
      <c r="L139">
        <f>SmtRes!DB174</f>
        <v>512.39</v>
      </c>
      <c r="M139">
        <f>ROUND(ROUND(L139*Source!I261, 2)*1, 2)</f>
        <v>26.13</v>
      </c>
      <c r="N139">
        <f>SmtRes!AB174</f>
        <v>2146.34</v>
      </c>
      <c r="O139">
        <f>ROUND(ROUND(L139*Source!I261, 2)*SmtRes!DA174, 2)</f>
        <v>394.04</v>
      </c>
      <c r="P139">
        <f>SmtRes!AG174</f>
        <v>12.1</v>
      </c>
      <c r="Q139">
        <f>SmtRes!DC174</f>
        <v>43.56</v>
      </c>
      <c r="R139">
        <f>ROUND(ROUND(Q139*Source!I261, 2)*1, 2)</f>
        <v>2.2200000000000002</v>
      </c>
      <c r="S139">
        <f>SmtRes!AC174</f>
        <v>426.77</v>
      </c>
      <c r="T139">
        <f>ROUND(ROUND(Q139*Source!I261, 2)*SmtRes!AK174, 2)</f>
        <v>78.3</v>
      </c>
      <c r="U139">
        <v>2</v>
      </c>
      <c r="Z139">
        <f>SmtRes!X174</f>
        <v>-1284593515</v>
      </c>
      <c r="AA139">
        <v>285828163</v>
      </c>
      <c r="AB139">
        <v>1565779480</v>
      </c>
    </row>
    <row r="140" spans="1:28" x14ac:dyDescent="0.2">
      <c r="A140">
        <v>20</v>
      </c>
      <c r="B140">
        <v>173</v>
      </c>
      <c r="C140">
        <v>2</v>
      </c>
      <c r="D140">
        <v>0</v>
      </c>
      <c r="E140">
        <f>SmtRes!AV173</f>
        <v>0</v>
      </c>
      <c r="F140" t="str">
        <f>SmtRes!I173</f>
        <v>021141</v>
      </c>
      <c r="G140" t="str">
        <f>SmtRes!K173</f>
        <v>Краны на автомобильном ходу при работе на других видах строительства 10 т</v>
      </c>
      <c r="H140" t="str">
        <f>SmtRes!O173</f>
        <v>маш.-ч</v>
      </c>
      <c r="I140">
        <f>SmtRes!Y173*Source!I261</f>
        <v>6.1199999999999996E-3</v>
      </c>
      <c r="J140">
        <f>SmtRes!AO173</f>
        <v>1</v>
      </c>
      <c r="K140">
        <f>SmtRes!AF173</f>
        <v>124.14</v>
      </c>
      <c r="L140">
        <f>SmtRes!DB173</f>
        <v>14.9</v>
      </c>
      <c r="M140">
        <f>ROUND(ROUND(L140*Source!I261, 2)*1, 2)</f>
        <v>0.76</v>
      </c>
      <c r="N140">
        <f>SmtRes!AB173</f>
        <v>1453.68</v>
      </c>
      <c r="O140">
        <f>ROUND(ROUND(L140*Source!I261, 2)*SmtRes!DA173, 2)</f>
        <v>8.9</v>
      </c>
      <c r="P140">
        <f>SmtRes!AG173</f>
        <v>12.1</v>
      </c>
      <c r="Q140">
        <f>SmtRes!DC173</f>
        <v>1.45</v>
      </c>
      <c r="R140">
        <f>ROUND(ROUND(Q140*Source!I261, 2)*1, 2)</f>
        <v>7.0000000000000007E-2</v>
      </c>
      <c r="S140">
        <f>SmtRes!AC173</f>
        <v>426.77</v>
      </c>
      <c r="T140">
        <f>ROUND(ROUND(Q140*Source!I261, 2)*SmtRes!AK173, 2)</f>
        <v>2.4700000000000002</v>
      </c>
      <c r="U140">
        <v>2</v>
      </c>
      <c r="Z140">
        <f>SmtRes!X173</f>
        <v>1447433125</v>
      </c>
      <c r="AA140">
        <v>1854632627</v>
      </c>
      <c r="AB140">
        <v>887395808</v>
      </c>
    </row>
    <row r="141" spans="1:28" x14ac:dyDescent="0.2">
      <c r="A141">
        <v>20</v>
      </c>
      <c r="B141">
        <v>172</v>
      </c>
      <c r="C141">
        <v>2</v>
      </c>
      <c r="D141">
        <v>0</v>
      </c>
      <c r="E141">
        <f>SmtRes!AV172</f>
        <v>0</v>
      </c>
      <c r="F141" t="str">
        <f>SmtRes!I172</f>
        <v>020403</v>
      </c>
      <c r="G141" t="str">
        <f>SmtRes!K172</f>
        <v>Краны козловые при работе на монтаже технологического оборудования 32 т</v>
      </c>
      <c r="H141" t="str">
        <f>SmtRes!O172</f>
        <v>маш.-ч</v>
      </c>
      <c r="I141">
        <f>SmtRes!Y172*Source!I261</f>
        <v>5.1000000000000004E-3</v>
      </c>
      <c r="J141">
        <f>SmtRes!AO172</f>
        <v>1</v>
      </c>
      <c r="K141">
        <f>SmtRes!AF172</f>
        <v>159.85</v>
      </c>
      <c r="L141">
        <f>SmtRes!DB172</f>
        <v>15.99</v>
      </c>
      <c r="M141">
        <f>ROUND(ROUND(L141*Source!I261, 2)*1, 2)</f>
        <v>0.82</v>
      </c>
      <c r="N141">
        <f>SmtRes!AB172</f>
        <v>1791.92</v>
      </c>
      <c r="O141">
        <f>ROUND(ROUND(L141*Source!I261, 2)*SmtRes!DA172, 2)</f>
        <v>9.19</v>
      </c>
      <c r="P141">
        <f>SmtRes!AG172</f>
        <v>13.78</v>
      </c>
      <c r="Q141">
        <f>SmtRes!DC172</f>
        <v>1.38</v>
      </c>
      <c r="R141">
        <f>ROUND(ROUND(Q141*Source!I261, 2)*1, 2)</f>
        <v>7.0000000000000007E-2</v>
      </c>
      <c r="S141">
        <f>SmtRes!AC172</f>
        <v>486.02</v>
      </c>
      <c r="T141">
        <f>ROUND(ROUND(Q141*Source!I261, 2)*SmtRes!AK172, 2)</f>
        <v>2.4700000000000002</v>
      </c>
      <c r="U141">
        <v>2</v>
      </c>
      <c r="Z141">
        <f>SmtRes!X172</f>
        <v>1827899330</v>
      </c>
      <c r="AA141">
        <v>819171878</v>
      </c>
      <c r="AB141">
        <v>-910470663</v>
      </c>
    </row>
    <row r="142" spans="1:28" x14ac:dyDescent="0.2">
      <c r="A142">
        <v>20</v>
      </c>
      <c r="B142">
        <v>170</v>
      </c>
      <c r="C142">
        <v>1</v>
      </c>
      <c r="D142">
        <v>0</v>
      </c>
      <c r="E142">
        <f>SmtRes!AV170</f>
        <v>1</v>
      </c>
      <c r="F142" t="str">
        <f>SmtRes!I170</f>
        <v>1-1032-21</v>
      </c>
      <c r="G142" t="str">
        <f>SmtRes!K170</f>
        <v>Рабочий строитель среднего разряда 3,2</v>
      </c>
      <c r="H142" t="str">
        <f>SmtRes!O170</f>
        <v>чел.-ч</v>
      </c>
      <c r="I142">
        <f>SmtRes!Y170*Source!I261</f>
        <v>3.2272799999999999</v>
      </c>
      <c r="J142">
        <f>SmtRes!AO170</f>
        <v>1</v>
      </c>
      <c r="K142">
        <f>SmtRes!AH170</f>
        <v>8.17</v>
      </c>
      <c r="L142">
        <f>SmtRes!DB170</f>
        <v>517</v>
      </c>
      <c r="M142">
        <f>ROUND(ROUND(L142*Source!I261, 2)*1, 2)</f>
        <v>26.37</v>
      </c>
      <c r="N142">
        <f>SmtRes!AD170</f>
        <v>8.17</v>
      </c>
      <c r="O142">
        <f>ROUND(ROUND(L142*Source!I261, 2)*SmtRes!DA170, 2)</f>
        <v>26.37</v>
      </c>
      <c r="P142">
        <f>SmtRes!AG170</f>
        <v>0</v>
      </c>
      <c r="Q142">
        <f>SmtRes!DC170</f>
        <v>0</v>
      </c>
      <c r="R142">
        <f>ROUND(ROUND(Q142*Source!I261, 2)*1, 2)</f>
        <v>0</v>
      </c>
      <c r="S142">
        <f>SmtRes!AC170</f>
        <v>0</v>
      </c>
      <c r="T142">
        <f>ROUND(ROUND(Q142*Source!I261, 2)*SmtRes!AK170, 2)</f>
        <v>0</v>
      </c>
      <c r="U142">
        <v>1</v>
      </c>
      <c r="Z142">
        <f>SmtRes!X170</f>
        <v>-1698459243</v>
      </c>
      <c r="AA142">
        <v>2091112521</v>
      </c>
      <c r="AB142">
        <v>-72625266</v>
      </c>
    </row>
    <row r="143" spans="1:28" x14ac:dyDescent="0.2">
      <c r="A143">
        <f>Source!A263</f>
        <v>17</v>
      </c>
      <c r="B143">
        <v>263</v>
      </c>
      <c r="C143">
        <v>3</v>
      </c>
      <c r="D143">
        <f>Source!BI263</f>
        <v>1</v>
      </c>
      <c r="E143">
        <f>Source!FS263</f>
        <v>0</v>
      </c>
      <c r="F143" t="str">
        <f>Source!F263</f>
        <v>103-1485</v>
      </c>
      <c r="G143" t="str">
        <f>Source!G263</f>
        <v>Трубы стальные квадратные (ГОСТ 8639-82) размером 40х40 мм, толщина стенки 3 мм</v>
      </c>
      <c r="H143" t="str">
        <f>Source!H263</f>
        <v>м</v>
      </c>
      <c r="I143">
        <f>Source!I263</f>
        <v>14.7</v>
      </c>
      <c r="J143">
        <v>1</v>
      </c>
      <c r="K143">
        <f>Source!AC263</f>
        <v>28.37</v>
      </c>
      <c r="M143">
        <f>ROUND(K143*I143, 2)</f>
        <v>417.04</v>
      </c>
      <c r="N143">
        <f>Source!AC263*IF(Source!BC263&lt;&gt; 0, Source!BC263, 1)</f>
        <v>274.6216</v>
      </c>
      <c r="O143">
        <f>ROUND(N143*I143, 2)</f>
        <v>4036.94</v>
      </c>
      <c r="P143">
        <f>Source!AE263</f>
        <v>0</v>
      </c>
      <c r="R143">
        <f>ROUND(P143*I143, 2)</f>
        <v>0</v>
      </c>
      <c r="S143">
        <f>Source!AE263*IF(Source!BS263&lt;&gt; 0, Source!BS263, 1)</f>
        <v>0</v>
      </c>
      <c r="T143">
        <f>ROUND(S143*I143, 2)</f>
        <v>0</v>
      </c>
      <c r="U143">
        <v>3</v>
      </c>
      <c r="Z143">
        <f>Source!GF263</f>
        <v>-1760736261</v>
      </c>
      <c r="AA143">
        <v>-184170827</v>
      </c>
      <c r="AB143">
        <v>-1334343700</v>
      </c>
    </row>
    <row r="144" spans="1:28" x14ac:dyDescent="0.2">
      <c r="A144">
        <v>20</v>
      </c>
      <c r="B144">
        <v>220</v>
      </c>
      <c r="C144">
        <v>3</v>
      </c>
      <c r="D144">
        <v>0</v>
      </c>
      <c r="E144">
        <f>SmtRes!AV220</f>
        <v>0</v>
      </c>
      <c r="F144" t="str">
        <f>SmtRes!I220</f>
        <v>508-0097</v>
      </c>
      <c r="G144" t="str">
        <f>SmtRes!K220</f>
        <v>Канат двойной свивки типа ТК, конструкции 6х19(1+6+12)+1 о.с., оцинкованный из проволок марки В, маркировочная группа 1770 н/мм2, диаметром 5,5 мм</v>
      </c>
      <c r="H144" t="str">
        <f>SmtRes!O220</f>
        <v>10 м</v>
      </c>
      <c r="I144">
        <f>SmtRes!Y220*Source!I264</f>
        <v>2.16E-3</v>
      </c>
      <c r="J144">
        <f>SmtRes!AO220</f>
        <v>1</v>
      </c>
      <c r="K144">
        <f>SmtRes!AE220</f>
        <v>71.5</v>
      </c>
      <c r="L144">
        <f>SmtRes!DB220</f>
        <v>1.1399999999999999</v>
      </c>
      <c r="M144">
        <f>ROUND(ROUND(L144*Source!I264, 2)*1, 2)</f>
        <v>0.15</v>
      </c>
      <c r="N144">
        <f>SmtRes!AA220</f>
        <v>251.68</v>
      </c>
      <c r="O144">
        <f>ROUND(ROUND(L144*Source!I264, 2)*SmtRes!DA220, 2)</f>
        <v>0.53</v>
      </c>
      <c r="P144">
        <f>SmtRes!AG220</f>
        <v>0</v>
      </c>
      <c r="Q144">
        <f>SmtRes!DC220</f>
        <v>0</v>
      </c>
      <c r="R144">
        <f>ROUND(ROUND(Q144*Source!I264, 2)*1, 2)</f>
        <v>0</v>
      </c>
      <c r="S144">
        <f>SmtRes!AC220</f>
        <v>0</v>
      </c>
      <c r="T144">
        <f>ROUND(ROUND(Q144*Source!I264, 2)*SmtRes!AK220, 2)</f>
        <v>0</v>
      </c>
      <c r="U144">
        <v>3</v>
      </c>
      <c r="Z144">
        <f>SmtRes!X220</f>
        <v>-802941189</v>
      </c>
      <c r="AA144">
        <v>233119458</v>
      </c>
      <c r="AB144">
        <v>682266845</v>
      </c>
    </row>
    <row r="145" spans="1:28" x14ac:dyDescent="0.2">
      <c r="A145">
        <v>20</v>
      </c>
      <c r="B145">
        <v>218</v>
      </c>
      <c r="C145">
        <v>3</v>
      </c>
      <c r="D145">
        <v>0</v>
      </c>
      <c r="E145">
        <f>SmtRes!AV218</f>
        <v>0</v>
      </c>
      <c r="F145" t="str">
        <f>SmtRes!I218</f>
        <v>201-0756</v>
      </c>
      <c r="G145" t="str">
        <f>SmtRes!K218</f>
        <v>Отдельные конструктивные элементы зданий и сооружений с преобладанием горячекатаных профилей, средняя масса сборочной единицы от 0,1 до 0,5 т</v>
      </c>
      <c r="H145" t="str">
        <f>SmtRes!O218</f>
        <v>т</v>
      </c>
      <c r="I145">
        <f>SmtRes!Y218*Source!I264</f>
        <v>2.565E-3</v>
      </c>
      <c r="J145">
        <f>SmtRes!AO218</f>
        <v>1</v>
      </c>
      <c r="K145">
        <f>SmtRes!AE218</f>
        <v>7712</v>
      </c>
      <c r="L145">
        <f>SmtRes!DB218</f>
        <v>146.53</v>
      </c>
      <c r="M145">
        <f>ROUND(ROUND(L145*Source!I264, 2)*1, 2)</f>
        <v>19.78</v>
      </c>
      <c r="N145">
        <f>SmtRes!AA218</f>
        <v>119227.52</v>
      </c>
      <c r="O145">
        <f>ROUND(ROUND(L145*Source!I264, 2)*SmtRes!DA218, 2)</f>
        <v>305.8</v>
      </c>
      <c r="P145">
        <f>SmtRes!AG218</f>
        <v>0</v>
      </c>
      <c r="Q145">
        <f>SmtRes!DC218</f>
        <v>0</v>
      </c>
      <c r="R145">
        <f>ROUND(ROUND(Q145*Source!I264, 2)*1, 2)</f>
        <v>0</v>
      </c>
      <c r="S145">
        <f>SmtRes!AC218</f>
        <v>0</v>
      </c>
      <c r="T145">
        <f>ROUND(ROUND(Q145*Source!I264, 2)*SmtRes!AK218, 2)</f>
        <v>0</v>
      </c>
      <c r="U145">
        <v>3</v>
      </c>
      <c r="Z145">
        <f>SmtRes!X218</f>
        <v>1152755346</v>
      </c>
      <c r="AA145">
        <v>-527851369</v>
      </c>
      <c r="AB145">
        <v>161394910</v>
      </c>
    </row>
    <row r="146" spans="1:28" x14ac:dyDescent="0.2">
      <c r="A146">
        <v>20</v>
      </c>
      <c r="B146">
        <v>217</v>
      </c>
      <c r="C146">
        <v>3</v>
      </c>
      <c r="D146">
        <v>0</v>
      </c>
      <c r="E146">
        <f>SmtRes!AV217</f>
        <v>0</v>
      </c>
      <c r="F146" t="str">
        <f>SmtRes!I217</f>
        <v>113-0021</v>
      </c>
      <c r="G146" t="str">
        <f>SmtRes!K217</f>
        <v>Грунтовка ГФ-021 красно-коричневая</v>
      </c>
      <c r="H146" t="str">
        <f>SmtRes!O217</f>
        <v>т</v>
      </c>
      <c r="I146">
        <f>SmtRes!Y217*Source!I264</f>
        <v>6.3449999999999997E-5</v>
      </c>
      <c r="J146">
        <f>SmtRes!AO217</f>
        <v>1</v>
      </c>
      <c r="K146">
        <f>SmtRes!AE217</f>
        <v>15620</v>
      </c>
      <c r="L146">
        <f>SmtRes!DB217</f>
        <v>7.34</v>
      </c>
      <c r="M146">
        <f>ROUND(ROUND(L146*Source!I264, 2)*1, 2)</f>
        <v>0.99</v>
      </c>
      <c r="N146">
        <f>SmtRes!AA217</f>
        <v>80130.600000000006</v>
      </c>
      <c r="O146">
        <f>ROUND(ROUND(L146*Source!I264, 2)*SmtRes!DA217, 2)</f>
        <v>5.08</v>
      </c>
      <c r="P146">
        <f>SmtRes!AG217</f>
        <v>0</v>
      </c>
      <c r="Q146">
        <f>SmtRes!DC217</f>
        <v>0</v>
      </c>
      <c r="R146">
        <f>ROUND(ROUND(Q146*Source!I264, 2)*1, 2)</f>
        <v>0</v>
      </c>
      <c r="S146">
        <f>SmtRes!AC217</f>
        <v>0</v>
      </c>
      <c r="T146">
        <f>ROUND(ROUND(Q146*Source!I264, 2)*SmtRes!AK217, 2)</f>
        <v>0</v>
      </c>
      <c r="U146">
        <v>3</v>
      </c>
      <c r="Z146">
        <f>SmtRes!X217</f>
        <v>-763406924</v>
      </c>
      <c r="AA146">
        <v>-232389014</v>
      </c>
      <c r="AB146">
        <v>-1628321020</v>
      </c>
    </row>
    <row r="147" spans="1:28" x14ac:dyDescent="0.2">
      <c r="A147">
        <v>20</v>
      </c>
      <c r="B147">
        <v>216</v>
      </c>
      <c r="C147">
        <v>3</v>
      </c>
      <c r="D147">
        <v>0</v>
      </c>
      <c r="E147">
        <f>SmtRes!AV216</f>
        <v>0</v>
      </c>
      <c r="F147" t="str">
        <f>SmtRes!I216</f>
        <v>102-0023</v>
      </c>
      <c r="G147" t="str">
        <f>SmtRes!K216</f>
        <v>Бруски обрезные хвойных пород длиной 4-6,5 м, шириной 75-150 мм, толщиной 40-75 мм, I сорта</v>
      </c>
      <c r="H147" t="str">
        <f>SmtRes!O216</f>
        <v>м3</v>
      </c>
      <c r="I147">
        <f>SmtRes!Y216*Source!I264</f>
        <v>1.7550000000000001E-4</v>
      </c>
      <c r="J147">
        <f>SmtRes!AO216</f>
        <v>1</v>
      </c>
      <c r="K147">
        <f>SmtRes!AE216</f>
        <v>1421</v>
      </c>
      <c r="L147">
        <f>SmtRes!DB216</f>
        <v>1.85</v>
      </c>
      <c r="M147">
        <f>ROUND(ROUND(L147*Source!I264, 2)*1, 2)</f>
        <v>0.25</v>
      </c>
      <c r="N147">
        <f>SmtRes!AA216</f>
        <v>18572.47</v>
      </c>
      <c r="O147">
        <f>ROUND(ROUND(L147*Source!I264, 2)*SmtRes!DA216, 2)</f>
        <v>3.27</v>
      </c>
      <c r="P147">
        <f>SmtRes!AG216</f>
        <v>0</v>
      </c>
      <c r="Q147">
        <f>SmtRes!DC216</f>
        <v>0</v>
      </c>
      <c r="R147">
        <f>ROUND(ROUND(Q147*Source!I264, 2)*1, 2)</f>
        <v>0</v>
      </c>
      <c r="S147">
        <f>SmtRes!AC216</f>
        <v>0</v>
      </c>
      <c r="T147">
        <f>ROUND(ROUND(Q147*Source!I264, 2)*SmtRes!AK216, 2)</f>
        <v>0</v>
      </c>
      <c r="U147">
        <v>3</v>
      </c>
      <c r="Z147">
        <f>SmtRes!X216</f>
        <v>579634616</v>
      </c>
      <c r="AA147">
        <v>-149810444</v>
      </c>
      <c r="AB147">
        <v>-1697308160</v>
      </c>
    </row>
    <row r="148" spans="1:28" x14ac:dyDescent="0.2">
      <c r="A148">
        <v>20</v>
      </c>
      <c r="B148">
        <v>213</v>
      </c>
      <c r="C148">
        <v>3</v>
      </c>
      <c r="D148">
        <v>0</v>
      </c>
      <c r="E148">
        <f>SmtRes!AV213</f>
        <v>0</v>
      </c>
      <c r="F148" t="str">
        <f>SmtRes!I213</f>
        <v>101-2467</v>
      </c>
      <c r="G148" t="str">
        <f>SmtRes!K213</f>
        <v>Растворитель марки Р-4</v>
      </c>
      <c r="H148" t="str">
        <f>SmtRes!O213</f>
        <v>т</v>
      </c>
      <c r="I148">
        <f>SmtRes!Y213*Source!I264</f>
        <v>1.2150000000000002E-5</v>
      </c>
      <c r="J148">
        <f>SmtRes!AO213</f>
        <v>1</v>
      </c>
      <c r="K148">
        <f>SmtRes!AE213</f>
        <v>9420</v>
      </c>
      <c r="L148">
        <f>SmtRes!DB213</f>
        <v>0.85</v>
      </c>
      <c r="M148">
        <f>ROUND(ROUND(L148*Source!I264, 2)*1, 2)</f>
        <v>0.11</v>
      </c>
      <c r="N148">
        <f>SmtRes!AA213</f>
        <v>72063</v>
      </c>
      <c r="O148">
        <f>ROUND(ROUND(L148*Source!I264, 2)*SmtRes!DA213, 2)</f>
        <v>0.84</v>
      </c>
      <c r="P148">
        <f>SmtRes!AG213</f>
        <v>0</v>
      </c>
      <c r="Q148">
        <f>SmtRes!DC213</f>
        <v>0</v>
      </c>
      <c r="R148">
        <f>ROUND(ROUND(Q148*Source!I264, 2)*1, 2)</f>
        <v>0</v>
      </c>
      <c r="S148">
        <f>SmtRes!AC213</f>
        <v>0</v>
      </c>
      <c r="T148">
        <f>ROUND(ROUND(Q148*Source!I264, 2)*SmtRes!AK213, 2)</f>
        <v>0</v>
      </c>
      <c r="U148">
        <v>3</v>
      </c>
      <c r="Z148">
        <f>SmtRes!X213</f>
        <v>-250432139</v>
      </c>
      <c r="AA148">
        <v>1739873944</v>
      </c>
      <c r="AB148">
        <v>1068711965</v>
      </c>
    </row>
    <row r="149" spans="1:28" x14ac:dyDescent="0.2">
      <c r="A149">
        <v>20</v>
      </c>
      <c r="B149">
        <v>212</v>
      </c>
      <c r="C149">
        <v>3</v>
      </c>
      <c r="D149">
        <v>0</v>
      </c>
      <c r="E149">
        <f>SmtRes!AV212</f>
        <v>0</v>
      </c>
      <c r="F149" t="str">
        <f>SmtRes!I212</f>
        <v>101-2278</v>
      </c>
      <c r="G149" t="str">
        <f>SmtRes!K212</f>
        <v>Пропан-бутан, смесь техническая</v>
      </c>
      <c r="H149" t="str">
        <f>SmtRes!O212</f>
        <v>кг</v>
      </c>
      <c r="I149">
        <f>SmtRes!Y212*Source!I264</f>
        <v>0.12190500000000001</v>
      </c>
      <c r="J149">
        <f>SmtRes!AO212</f>
        <v>1</v>
      </c>
      <c r="K149">
        <f>SmtRes!AE212</f>
        <v>6.62</v>
      </c>
      <c r="L149">
        <f>SmtRes!DB212</f>
        <v>5.98</v>
      </c>
      <c r="M149">
        <f>ROUND(ROUND(L149*Source!I264, 2)*1, 2)</f>
        <v>0.81</v>
      </c>
      <c r="N149">
        <f>SmtRes!AA212</f>
        <v>53.09</v>
      </c>
      <c r="O149">
        <f>ROUND(ROUND(L149*Source!I264, 2)*SmtRes!DA212, 2)</f>
        <v>6.5</v>
      </c>
      <c r="P149">
        <f>SmtRes!AG212</f>
        <v>0</v>
      </c>
      <c r="Q149">
        <f>SmtRes!DC212</f>
        <v>0</v>
      </c>
      <c r="R149">
        <f>ROUND(ROUND(Q149*Source!I264, 2)*1, 2)</f>
        <v>0</v>
      </c>
      <c r="S149">
        <f>SmtRes!AC212</f>
        <v>0</v>
      </c>
      <c r="T149">
        <f>ROUND(ROUND(Q149*Source!I264, 2)*SmtRes!AK212, 2)</f>
        <v>0</v>
      </c>
      <c r="U149">
        <v>3</v>
      </c>
      <c r="Z149">
        <f>SmtRes!X212</f>
        <v>873943321</v>
      </c>
      <c r="AA149">
        <v>-395631024</v>
      </c>
      <c r="AB149">
        <v>1803414858</v>
      </c>
    </row>
    <row r="150" spans="1:28" x14ac:dyDescent="0.2">
      <c r="A150">
        <v>20</v>
      </c>
      <c r="B150">
        <v>211</v>
      </c>
      <c r="C150">
        <v>3</v>
      </c>
      <c r="D150">
        <v>0</v>
      </c>
      <c r="E150">
        <f>SmtRes!AV211</f>
        <v>0</v>
      </c>
      <c r="F150" t="str">
        <f>SmtRes!I211</f>
        <v>101-1805</v>
      </c>
      <c r="G150" t="str">
        <f>SmtRes!K211</f>
        <v>Гвозди строительные</v>
      </c>
      <c r="H150" t="str">
        <f>SmtRes!O211</f>
        <v>т</v>
      </c>
      <c r="I150">
        <f>SmtRes!Y211*Source!I264</f>
        <v>2.7000000000000004E-6</v>
      </c>
      <c r="J150">
        <f>SmtRes!AO211</f>
        <v>1</v>
      </c>
      <c r="K150">
        <f>SmtRes!AE211</f>
        <v>12936</v>
      </c>
      <c r="L150">
        <f>SmtRes!DB211</f>
        <v>0.26</v>
      </c>
      <c r="M150">
        <f>ROUND(ROUND(L150*Source!I264, 2)*1, 2)</f>
        <v>0.04</v>
      </c>
      <c r="N150">
        <f>SmtRes!AA211</f>
        <v>111120.24</v>
      </c>
      <c r="O150">
        <f>ROUND(ROUND(L150*Source!I264, 2)*SmtRes!DA211, 2)</f>
        <v>0.34</v>
      </c>
      <c r="P150">
        <f>SmtRes!AG211</f>
        <v>0</v>
      </c>
      <c r="Q150">
        <f>SmtRes!DC211</f>
        <v>0</v>
      </c>
      <c r="R150">
        <f>ROUND(ROUND(Q150*Source!I264, 2)*1, 2)</f>
        <v>0</v>
      </c>
      <c r="S150">
        <f>SmtRes!AC211</f>
        <v>0</v>
      </c>
      <c r="T150">
        <f>ROUND(ROUND(Q150*Source!I264, 2)*SmtRes!AK211, 2)</f>
        <v>0</v>
      </c>
      <c r="U150">
        <v>3</v>
      </c>
      <c r="Z150">
        <f>SmtRes!X211</f>
        <v>-667930777</v>
      </c>
      <c r="AA150">
        <v>73813288</v>
      </c>
      <c r="AB150">
        <v>1198263553</v>
      </c>
    </row>
    <row r="151" spans="1:28" x14ac:dyDescent="0.2">
      <c r="A151">
        <v>20</v>
      </c>
      <c r="B151">
        <v>210</v>
      </c>
      <c r="C151">
        <v>3</v>
      </c>
      <c r="D151">
        <v>0</v>
      </c>
      <c r="E151">
        <f>SmtRes!AV210</f>
        <v>0</v>
      </c>
      <c r="F151" t="str">
        <f>SmtRes!I210</f>
        <v>101-1714</v>
      </c>
      <c r="G151" t="str">
        <f>SmtRes!K210</f>
        <v>Болты с гайками и шайбами строительные</v>
      </c>
      <c r="H151" t="str">
        <f>SmtRes!O210</f>
        <v>т</v>
      </c>
      <c r="I151">
        <f>SmtRes!Y210*Source!I264</f>
        <v>9.4500000000000009E-4</v>
      </c>
      <c r="J151">
        <f>SmtRes!AO210</f>
        <v>1</v>
      </c>
      <c r="K151">
        <f>SmtRes!AE210</f>
        <v>9040.01</v>
      </c>
      <c r="L151">
        <f>SmtRes!DB210</f>
        <v>63.28</v>
      </c>
      <c r="M151">
        <f>ROUND(ROUND(L151*Source!I264, 2)*1, 2)</f>
        <v>8.5399999999999991</v>
      </c>
      <c r="N151">
        <f>SmtRes!AA210</f>
        <v>208824.23</v>
      </c>
      <c r="O151">
        <f>ROUND(ROUND(L151*Source!I264, 2)*SmtRes!DA210, 2)</f>
        <v>197.27</v>
      </c>
      <c r="P151">
        <f>SmtRes!AG210</f>
        <v>0</v>
      </c>
      <c r="Q151">
        <f>SmtRes!DC210</f>
        <v>0</v>
      </c>
      <c r="R151">
        <f>ROUND(ROUND(Q151*Source!I264, 2)*1, 2)</f>
        <v>0</v>
      </c>
      <c r="S151">
        <f>SmtRes!AC210</f>
        <v>0</v>
      </c>
      <c r="T151">
        <f>ROUND(ROUND(Q151*Source!I264, 2)*SmtRes!AK210, 2)</f>
        <v>0</v>
      </c>
      <c r="U151">
        <v>3</v>
      </c>
      <c r="Z151">
        <f>SmtRes!X210</f>
        <v>-384985709</v>
      </c>
      <c r="AA151">
        <v>1357882990</v>
      </c>
      <c r="AB151">
        <v>328055112</v>
      </c>
    </row>
    <row r="152" spans="1:28" x14ac:dyDescent="0.2">
      <c r="A152">
        <v>20</v>
      </c>
      <c r="B152">
        <v>209</v>
      </c>
      <c r="C152">
        <v>3</v>
      </c>
      <c r="D152">
        <v>0</v>
      </c>
      <c r="E152">
        <f>SmtRes!AV209</f>
        <v>0</v>
      </c>
      <c r="F152" t="str">
        <f>SmtRes!I209</f>
        <v>101-1513</v>
      </c>
      <c r="G152" t="str">
        <f>SmtRes!K209</f>
        <v>Электроды диаметром 4 мм Э42</v>
      </c>
      <c r="H152" t="str">
        <f>SmtRes!O209</f>
        <v>т</v>
      </c>
      <c r="I152">
        <f>SmtRes!Y209*Source!I264</f>
        <v>4.5899999999999999E-4</v>
      </c>
      <c r="J152">
        <f>SmtRes!AO209</f>
        <v>1</v>
      </c>
      <c r="K152">
        <f>SmtRes!AE209</f>
        <v>9750</v>
      </c>
      <c r="L152">
        <f>SmtRes!DB209</f>
        <v>33.15</v>
      </c>
      <c r="M152">
        <f>ROUND(ROUND(L152*Source!I264, 2)*1, 2)</f>
        <v>4.4800000000000004</v>
      </c>
      <c r="N152">
        <f>SmtRes!AA209</f>
        <v>119730</v>
      </c>
      <c r="O152">
        <f>ROUND(ROUND(L152*Source!I264, 2)*SmtRes!DA209, 2)</f>
        <v>55.01</v>
      </c>
      <c r="P152">
        <f>SmtRes!AG209</f>
        <v>0</v>
      </c>
      <c r="Q152">
        <f>SmtRes!DC209</f>
        <v>0</v>
      </c>
      <c r="R152">
        <f>ROUND(ROUND(Q152*Source!I264, 2)*1, 2)</f>
        <v>0</v>
      </c>
      <c r="S152">
        <f>SmtRes!AC209</f>
        <v>0</v>
      </c>
      <c r="T152">
        <f>ROUND(ROUND(Q152*Source!I264, 2)*SmtRes!AK209, 2)</f>
        <v>0</v>
      </c>
      <c r="U152">
        <v>3</v>
      </c>
      <c r="Z152">
        <f>SmtRes!X209</f>
        <v>1483167196</v>
      </c>
      <c r="AA152">
        <v>1048653327</v>
      </c>
      <c r="AB152">
        <v>1673140179</v>
      </c>
    </row>
    <row r="153" spans="1:28" x14ac:dyDescent="0.2">
      <c r="A153">
        <v>20</v>
      </c>
      <c r="B153">
        <v>208</v>
      </c>
      <c r="C153">
        <v>3</v>
      </c>
      <c r="D153">
        <v>0</v>
      </c>
      <c r="E153">
        <f>SmtRes!AV208</f>
        <v>0</v>
      </c>
      <c r="F153" t="str">
        <f>SmtRes!I208</f>
        <v>101-1019</v>
      </c>
      <c r="G153" t="str">
        <f>SmtRes!K208</f>
        <v>Швеллеры № 40 из стали марки Ст0</v>
      </c>
      <c r="H153" t="str">
        <f>SmtRes!O208</f>
        <v>т</v>
      </c>
      <c r="I153">
        <f>SmtRes!Y208*Source!I264</f>
        <v>4.0095000000000002E-4</v>
      </c>
      <c r="J153">
        <f>SmtRes!AO208</f>
        <v>1</v>
      </c>
      <c r="K153">
        <f>SmtRes!AE208</f>
        <v>5191</v>
      </c>
      <c r="L153">
        <f>SmtRes!DB208</f>
        <v>15.42</v>
      </c>
      <c r="M153">
        <f>ROUND(ROUND(L153*Source!I264, 2)*1, 2)</f>
        <v>2.08</v>
      </c>
      <c r="N153">
        <f>SmtRes!AA208</f>
        <v>72674</v>
      </c>
      <c r="O153">
        <f>ROUND(ROUND(L153*Source!I264, 2)*SmtRes!DA208, 2)</f>
        <v>29.12</v>
      </c>
      <c r="P153">
        <f>SmtRes!AG208</f>
        <v>0</v>
      </c>
      <c r="Q153">
        <f>SmtRes!DC208</f>
        <v>0</v>
      </c>
      <c r="R153">
        <f>ROUND(ROUND(Q153*Source!I264, 2)*1, 2)</f>
        <v>0</v>
      </c>
      <c r="S153">
        <f>SmtRes!AC208</f>
        <v>0</v>
      </c>
      <c r="T153">
        <f>ROUND(ROUND(Q153*Source!I264, 2)*SmtRes!AK208, 2)</f>
        <v>0</v>
      </c>
      <c r="U153">
        <v>3</v>
      </c>
      <c r="Z153">
        <f>SmtRes!X208</f>
        <v>-833443196</v>
      </c>
      <c r="AA153">
        <v>478577553</v>
      </c>
      <c r="AB153">
        <v>-376595282</v>
      </c>
    </row>
    <row r="154" spans="1:28" x14ac:dyDescent="0.2">
      <c r="A154">
        <v>20</v>
      </c>
      <c r="B154">
        <v>207</v>
      </c>
      <c r="C154">
        <v>3</v>
      </c>
      <c r="D154">
        <v>0</v>
      </c>
      <c r="E154">
        <f>SmtRes!AV207</f>
        <v>0</v>
      </c>
      <c r="F154" t="str">
        <f>SmtRes!I207</f>
        <v>101-0797</v>
      </c>
      <c r="G154" t="str">
        <f>SmtRes!K207</f>
        <v>Проволока горячекатаная в мотках, диаметром 6,3-6,5 мм</v>
      </c>
      <c r="H154" t="str">
        <f>SmtRes!O207</f>
        <v>т</v>
      </c>
      <c r="I154">
        <f>SmtRes!Y207*Source!I264</f>
        <v>5.4000000000000008E-6</v>
      </c>
      <c r="J154">
        <f>SmtRes!AO207</f>
        <v>1</v>
      </c>
      <c r="K154">
        <f>SmtRes!AE207</f>
        <v>4455</v>
      </c>
      <c r="L154">
        <f>SmtRes!DB207</f>
        <v>0.18</v>
      </c>
      <c r="M154">
        <f>ROUND(ROUND(L154*Source!I264, 2)*1, 2)</f>
        <v>0.02</v>
      </c>
      <c r="N154">
        <f>SmtRes!AA207</f>
        <v>31452.3</v>
      </c>
      <c r="O154">
        <f>ROUND(ROUND(L154*Source!I264, 2)*SmtRes!DA207, 2)</f>
        <v>0.14000000000000001</v>
      </c>
      <c r="P154">
        <f>SmtRes!AG207</f>
        <v>0</v>
      </c>
      <c r="Q154">
        <f>SmtRes!DC207</f>
        <v>0</v>
      </c>
      <c r="R154">
        <f>ROUND(ROUND(Q154*Source!I264, 2)*1, 2)</f>
        <v>0</v>
      </c>
      <c r="S154">
        <f>SmtRes!AC207</f>
        <v>0</v>
      </c>
      <c r="T154">
        <f>ROUND(ROUND(Q154*Source!I264, 2)*SmtRes!AK207, 2)</f>
        <v>0</v>
      </c>
      <c r="U154">
        <v>3</v>
      </c>
      <c r="Z154">
        <f>SmtRes!X207</f>
        <v>1941264678</v>
      </c>
      <c r="AA154">
        <v>376479924</v>
      </c>
      <c r="AB154">
        <v>-456759606</v>
      </c>
    </row>
    <row r="155" spans="1:28" x14ac:dyDescent="0.2">
      <c r="A155">
        <v>20</v>
      </c>
      <c r="B155">
        <v>206</v>
      </c>
      <c r="C155">
        <v>3</v>
      </c>
      <c r="D155">
        <v>0</v>
      </c>
      <c r="E155">
        <f>SmtRes!AV206</f>
        <v>0</v>
      </c>
      <c r="F155" t="str">
        <f>SmtRes!I206</f>
        <v>101-0324</v>
      </c>
      <c r="G155" t="str">
        <f>SmtRes!K206</f>
        <v>Кислород технический газообразный</v>
      </c>
      <c r="H155" t="str">
        <f>SmtRes!O206</f>
        <v>м3</v>
      </c>
      <c r="I155">
        <f>SmtRes!Y206*Source!I264</f>
        <v>0.40230000000000005</v>
      </c>
      <c r="J155">
        <f>SmtRes!AO206</f>
        <v>1</v>
      </c>
      <c r="K155">
        <f>SmtRes!AE206</f>
        <v>6.22</v>
      </c>
      <c r="L155">
        <f>SmtRes!DB206</f>
        <v>18.54</v>
      </c>
      <c r="M155">
        <f>ROUND(ROUND(L155*Source!I264, 2)*1, 2)</f>
        <v>2.5</v>
      </c>
      <c r="N155">
        <f>SmtRes!AA206</f>
        <v>118.62</v>
      </c>
      <c r="O155">
        <f>ROUND(ROUND(L155*Source!I264, 2)*SmtRes!DA206, 2)</f>
        <v>47.68</v>
      </c>
      <c r="P155">
        <f>SmtRes!AG206</f>
        <v>0</v>
      </c>
      <c r="Q155">
        <f>SmtRes!DC206</f>
        <v>0</v>
      </c>
      <c r="R155">
        <f>ROUND(ROUND(Q155*Source!I264, 2)*1, 2)</f>
        <v>0</v>
      </c>
      <c r="S155">
        <f>SmtRes!AC206</f>
        <v>0</v>
      </c>
      <c r="T155">
        <f>ROUND(ROUND(Q155*Source!I264, 2)*SmtRes!AK206, 2)</f>
        <v>0</v>
      </c>
      <c r="U155">
        <v>3</v>
      </c>
      <c r="Z155">
        <f>SmtRes!X206</f>
        <v>-821751618</v>
      </c>
      <c r="AA155">
        <v>2128337316</v>
      </c>
      <c r="AB155">
        <v>-1112411388</v>
      </c>
    </row>
    <row r="156" spans="1:28" x14ac:dyDescent="0.2">
      <c r="A156">
        <v>20</v>
      </c>
      <c r="B156">
        <v>205</v>
      </c>
      <c r="C156">
        <v>3</v>
      </c>
      <c r="D156">
        <v>0</v>
      </c>
      <c r="E156">
        <f>SmtRes!AV205</f>
        <v>0</v>
      </c>
      <c r="F156" t="str">
        <f>SmtRes!I205</f>
        <v>101-0309</v>
      </c>
      <c r="G156" t="str">
        <f>SmtRes!K205</f>
        <v>Канаты пеньковые пропитанные</v>
      </c>
      <c r="H156" t="str">
        <f>SmtRes!O205</f>
        <v>т</v>
      </c>
      <c r="I156">
        <f>SmtRes!Y205*Source!I264</f>
        <v>2.0250000000000001E-5</v>
      </c>
      <c r="J156">
        <f>SmtRes!AO205</f>
        <v>1</v>
      </c>
      <c r="K156">
        <f>SmtRes!AE205</f>
        <v>37900</v>
      </c>
      <c r="L156">
        <f>SmtRes!DB205</f>
        <v>5.69</v>
      </c>
      <c r="M156">
        <f>ROUND(ROUND(L156*Source!I264, 2)*1, 2)</f>
        <v>0.77</v>
      </c>
      <c r="N156">
        <f>SmtRes!AA205</f>
        <v>231948</v>
      </c>
      <c r="O156">
        <f>ROUND(ROUND(L156*Source!I264, 2)*SmtRes!DA205, 2)</f>
        <v>4.71</v>
      </c>
      <c r="P156">
        <f>SmtRes!AG205</f>
        <v>0</v>
      </c>
      <c r="Q156">
        <f>SmtRes!DC205</f>
        <v>0</v>
      </c>
      <c r="R156">
        <f>ROUND(ROUND(Q156*Source!I264, 2)*1, 2)</f>
        <v>0</v>
      </c>
      <c r="S156">
        <f>SmtRes!AC205</f>
        <v>0</v>
      </c>
      <c r="T156">
        <f>ROUND(ROUND(Q156*Source!I264, 2)*SmtRes!AK205, 2)</f>
        <v>0</v>
      </c>
      <c r="U156">
        <v>3</v>
      </c>
      <c r="Z156">
        <f>SmtRes!X205</f>
        <v>-1280064888</v>
      </c>
      <c r="AA156">
        <v>-863405888</v>
      </c>
      <c r="AB156">
        <v>1686556190</v>
      </c>
    </row>
    <row r="157" spans="1:28" x14ac:dyDescent="0.2">
      <c r="A157">
        <v>20</v>
      </c>
      <c r="B157">
        <v>204</v>
      </c>
      <c r="C157">
        <v>2</v>
      </c>
      <c r="D157">
        <v>0</v>
      </c>
      <c r="E157">
        <f>SmtRes!AV204</f>
        <v>0</v>
      </c>
      <c r="F157" t="str">
        <f>SmtRes!I204</f>
        <v>400001</v>
      </c>
      <c r="G157" t="str">
        <f>SmtRes!K204</f>
        <v>Автомобили бортовые, грузоподъемность до 5 т</v>
      </c>
      <c r="H157" t="str">
        <f>SmtRes!O204</f>
        <v>маш.-ч</v>
      </c>
      <c r="I157">
        <f>SmtRes!Y204*Source!I264</f>
        <v>6.7500000000000004E-2</v>
      </c>
      <c r="J157">
        <f>SmtRes!AO204</f>
        <v>1</v>
      </c>
      <c r="K157">
        <f>SmtRes!AF204</f>
        <v>91.76</v>
      </c>
      <c r="L157">
        <f>SmtRes!DB204</f>
        <v>45.88</v>
      </c>
      <c r="M157">
        <f>ROUND(ROUND(L157*Source!I264, 2)*1, 2)</f>
        <v>6.19</v>
      </c>
      <c r="N157">
        <f>SmtRes!AB204</f>
        <v>1305.74</v>
      </c>
      <c r="O157">
        <f>ROUND(ROUND(L157*Source!I264, 2)*SmtRes!DA204, 2)</f>
        <v>88.08</v>
      </c>
      <c r="P157">
        <f>SmtRes!AG204</f>
        <v>10.35</v>
      </c>
      <c r="Q157">
        <f>SmtRes!DC204</f>
        <v>5.18</v>
      </c>
      <c r="R157">
        <f>ROUND(ROUND(Q157*Source!I264, 2)*1, 2)</f>
        <v>0.7</v>
      </c>
      <c r="S157">
        <f>SmtRes!AC204</f>
        <v>365.04</v>
      </c>
      <c r="T157">
        <f>ROUND(ROUND(Q157*Source!I264, 2)*SmtRes!AK204, 2)</f>
        <v>24.69</v>
      </c>
      <c r="U157">
        <v>2</v>
      </c>
      <c r="Z157">
        <f>SmtRes!X204</f>
        <v>-671646184</v>
      </c>
      <c r="AA157">
        <v>807713937</v>
      </c>
      <c r="AB157">
        <v>1619992053</v>
      </c>
    </row>
    <row r="158" spans="1:28" x14ac:dyDescent="0.2">
      <c r="A158">
        <v>20</v>
      </c>
      <c r="B158">
        <v>203</v>
      </c>
      <c r="C158">
        <v>2</v>
      </c>
      <c r="D158">
        <v>0</v>
      </c>
      <c r="E158">
        <f>SmtRes!AV203</f>
        <v>0</v>
      </c>
      <c r="F158" t="str">
        <f>SmtRes!I203</f>
        <v>330206</v>
      </c>
      <c r="G158" t="str">
        <f>SmtRes!K203</f>
        <v>Дрели электрические</v>
      </c>
      <c r="H158" t="str">
        <f>SmtRes!O203</f>
        <v>маш.-ч</v>
      </c>
      <c r="I158">
        <f>SmtRes!Y203*Source!I264</f>
        <v>0.32535000000000003</v>
      </c>
      <c r="J158">
        <f>SmtRes!AO203</f>
        <v>1</v>
      </c>
      <c r="K158">
        <f>SmtRes!AF203</f>
        <v>2.15</v>
      </c>
      <c r="L158">
        <f>SmtRes!DB203</f>
        <v>5.18</v>
      </c>
      <c r="M158">
        <f>ROUND(ROUND(L158*Source!I264, 2)*1, 2)</f>
        <v>0.7</v>
      </c>
      <c r="N158">
        <f>SmtRes!AB203</f>
        <v>12.13</v>
      </c>
      <c r="O158">
        <f>ROUND(ROUND(L158*Source!I264, 2)*SmtRes!DA203, 2)</f>
        <v>3.95</v>
      </c>
      <c r="P158">
        <f>SmtRes!AG203</f>
        <v>0</v>
      </c>
      <c r="Q158">
        <f>SmtRes!DC203</f>
        <v>0</v>
      </c>
      <c r="R158">
        <f>ROUND(ROUND(Q158*Source!I264, 2)*1, 2)</f>
        <v>0</v>
      </c>
      <c r="S158">
        <f>SmtRes!AC203</f>
        <v>0</v>
      </c>
      <c r="T158">
        <f>ROUND(ROUND(Q158*Source!I264, 2)*SmtRes!AK203, 2)</f>
        <v>0</v>
      </c>
      <c r="U158">
        <v>2</v>
      </c>
      <c r="Z158">
        <f>SmtRes!X203</f>
        <v>835824343</v>
      </c>
      <c r="AA158">
        <v>-508374777</v>
      </c>
      <c r="AB158">
        <v>70027163</v>
      </c>
    </row>
    <row r="159" spans="1:28" x14ac:dyDescent="0.2">
      <c r="A159">
        <v>20</v>
      </c>
      <c r="B159">
        <v>202</v>
      </c>
      <c r="C159">
        <v>2</v>
      </c>
      <c r="D159">
        <v>0</v>
      </c>
      <c r="E159">
        <f>SmtRes!AV202</f>
        <v>0</v>
      </c>
      <c r="F159" t="str">
        <f>SmtRes!I202</f>
        <v>041400</v>
      </c>
      <c r="G159" t="str">
        <f>SmtRes!K202</f>
        <v>Электрические печи для сушки сварочных материалов с регулированием температуры в пределах от 80 °С до 500 °С</v>
      </c>
      <c r="H159" t="str">
        <f>SmtRes!O202</f>
        <v>маш.-ч</v>
      </c>
      <c r="I159">
        <f>SmtRes!Y202*Source!I264</f>
        <v>2.7000000000000001E-3</v>
      </c>
      <c r="J159">
        <f>SmtRes!AO202</f>
        <v>1</v>
      </c>
      <c r="K159">
        <f>SmtRes!AF202</f>
        <v>6.4</v>
      </c>
      <c r="L159">
        <f>SmtRes!DB202</f>
        <v>0.13</v>
      </c>
      <c r="M159">
        <f>ROUND(ROUND(L159*Source!I264, 2)*1, 2)</f>
        <v>0.02</v>
      </c>
      <c r="N159">
        <f>SmtRes!AB202</f>
        <v>74.94</v>
      </c>
      <c r="O159">
        <f>ROUND(ROUND(L159*Source!I264, 2)*SmtRes!DA202, 2)</f>
        <v>0.23</v>
      </c>
      <c r="P159">
        <f>SmtRes!AG202</f>
        <v>0</v>
      </c>
      <c r="Q159">
        <f>SmtRes!DC202</f>
        <v>0</v>
      </c>
      <c r="R159">
        <f>ROUND(ROUND(Q159*Source!I264, 2)*1, 2)</f>
        <v>0</v>
      </c>
      <c r="S159">
        <f>SmtRes!AC202</f>
        <v>0</v>
      </c>
      <c r="T159">
        <f>ROUND(ROUND(Q159*Source!I264, 2)*SmtRes!AK202, 2)</f>
        <v>0</v>
      </c>
      <c r="U159">
        <v>2</v>
      </c>
      <c r="Z159">
        <f>SmtRes!X202</f>
        <v>1535524603</v>
      </c>
      <c r="AA159">
        <v>1147415382</v>
      </c>
      <c r="AB159">
        <v>-1084734523</v>
      </c>
    </row>
    <row r="160" spans="1:28" x14ac:dyDescent="0.2">
      <c r="A160">
        <v>20</v>
      </c>
      <c r="B160">
        <v>201</v>
      </c>
      <c r="C160">
        <v>2</v>
      </c>
      <c r="D160">
        <v>0</v>
      </c>
      <c r="E160">
        <f>SmtRes!AV201</f>
        <v>0</v>
      </c>
      <c r="F160" t="str">
        <f>SmtRes!I201</f>
        <v>041000</v>
      </c>
      <c r="G160" t="str">
        <f>SmtRes!K201</f>
        <v>Преобразователи сварочные с номинальным сварочным током 315-500 А</v>
      </c>
      <c r="H160" t="str">
        <f>SmtRes!O201</f>
        <v>маш.-ч</v>
      </c>
      <c r="I160">
        <f>SmtRes!Y201*Source!I264</f>
        <v>2.4300000000000002E-2</v>
      </c>
      <c r="J160">
        <f>SmtRes!AO201</f>
        <v>1</v>
      </c>
      <c r="K160">
        <f>SmtRes!AF201</f>
        <v>9.6999999999999993</v>
      </c>
      <c r="L160">
        <f>SmtRes!DB201</f>
        <v>1.75</v>
      </c>
      <c r="M160">
        <f>ROUND(ROUND(L160*Source!I264, 2)*1, 2)</f>
        <v>0.24</v>
      </c>
      <c r="N160">
        <f>SmtRes!AB201</f>
        <v>116.79</v>
      </c>
      <c r="O160">
        <f>ROUND(ROUND(L160*Source!I264, 2)*SmtRes!DA201, 2)</f>
        <v>2.89</v>
      </c>
      <c r="P160">
        <f>SmtRes!AG201</f>
        <v>0</v>
      </c>
      <c r="Q160">
        <f>SmtRes!DC201</f>
        <v>0</v>
      </c>
      <c r="R160">
        <f>ROUND(ROUND(Q160*Source!I264, 2)*1, 2)</f>
        <v>0</v>
      </c>
      <c r="S160">
        <f>SmtRes!AC201</f>
        <v>0</v>
      </c>
      <c r="T160">
        <f>ROUND(ROUND(Q160*Source!I264, 2)*SmtRes!AK201, 2)</f>
        <v>0</v>
      </c>
      <c r="U160">
        <v>2</v>
      </c>
      <c r="Z160">
        <f>SmtRes!X201</f>
        <v>1565869296</v>
      </c>
      <c r="AA160">
        <v>-932489371</v>
      </c>
      <c r="AB160">
        <v>642182244</v>
      </c>
    </row>
    <row r="161" spans="1:28" x14ac:dyDescent="0.2">
      <c r="A161">
        <v>20</v>
      </c>
      <c r="B161">
        <v>200</v>
      </c>
      <c r="C161">
        <v>2</v>
      </c>
      <c r="D161">
        <v>0</v>
      </c>
      <c r="E161">
        <f>SmtRes!AV200</f>
        <v>0</v>
      </c>
      <c r="F161" t="str">
        <f>SmtRes!I200</f>
        <v>040504</v>
      </c>
      <c r="G161" t="str">
        <f>SmtRes!K200</f>
        <v>Аппарат для газовой сварки и резки</v>
      </c>
      <c r="H161" t="str">
        <f>SmtRes!O200</f>
        <v>маш.-ч</v>
      </c>
      <c r="I161">
        <f>SmtRes!Y200*Source!I264</f>
        <v>0.4536</v>
      </c>
      <c r="J161">
        <f>SmtRes!AO200</f>
        <v>1</v>
      </c>
      <c r="K161">
        <f>SmtRes!AF200</f>
        <v>1.43</v>
      </c>
      <c r="L161">
        <f>SmtRes!DB200</f>
        <v>4.8</v>
      </c>
      <c r="M161">
        <f>ROUND(ROUND(L161*Source!I264, 2)*1, 2)</f>
        <v>0.65</v>
      </c>
      <c r="N161">
        <f>SmtRes!AB200</f>
        <v>9.35</v>
      </c>
      <c r="O161">
        <f>ROUND(ROUND(L161*Source!I264, 2)*SmtRes!DA200, 2)</f>
        <v>4.25</v>
      </c>
      <c r="P161">
        <f>SmtRes!AG200</f>
        <v>0</v>
      </c>
      <c r="Q161">
        <f>SmtRes!DC200</f>
        <v>0</v>
      </c>
      <c r="R161">
        <f>ROUND(ROUND(Q161*Source!I264, 2)*1, 2)</f>
        <v>0</v>
      </c>
      <c r="S161">
        <f>SmtRes!AC200</f>
        <v>0</v>
      </c>
      <c r="T161">
        <f>ROUND(ROUND(Q161*Source!I264, 2)*SmtRes!AK200, 2)</f>
        <v>0</v>
      </c>
      <c r="U161">
        <v>2</v>
      </c>
      <c r="Z161">
        <f>SmtRes!X200</f>
        <v>4083802</v>
      </c>
      <c r="AA161">
        <v>-1138127538</v>
      </c>
      <c r="AB161">
        <v>1695468324</v>
      </c>
    </row>
    <row r="162" spans="1:28" x14ac:dyDescent="0.2">
      <c r="A162">
        <v>20</v>
      </c>
      <c r="B162">
        <v>199</v>
      </c>
      <c r="C162">
        <v>2</v>
      </c>
      <c r="D162">
        <v>0</v>
      </c>
      <c r="E162">
        <f>SmtRes!AV199</f>
        <v>0</v>
      </c>
      <c r="F162" t="str">
        <f>SmtRes!I199</f>
        <v>030203</v>
      </c>
      <c r="G162" t="str">
        <f>SmtRes!K199</f>
        <v>Домкраты гидравлические грузоподъемностью 63-100 т</v>
      </c>
      <c r="H162" t="str">
        <f>SmtRes!O199</f>
        <v>маш.-ч</v>
      </c>
      <c r="I162">
        <f>SmtRes!Y199*Source!I264</f>
        <v>0.13365000000000002</v>
      </c>
      <c r="J162">
        <f>SmtRes!AO199</f>
        <v>1</v>
      </c>
      <c r="K162">
        <f>SmtRes!AF199</f>
        <v>1.52</v>
      </c>
      <c r="L162">
        <f>SmtRes!DB199</f>
        <v>1.5</v>
      </c>
      <c r="M162">
        <f>ROUND(ROUND(L162*Source!I264, 2)*1, 2)</f>
        <v>0.2</v>
      </c>
      <c r="N162">
        <f>SmtRes!AB199</f>
        <v>8.09</v>
      </c>
      <c r="O162">
        <f>ROUND(ROUND(L162*Source!I264, 2)*SmtRes!DA199, 2)</f>
        <v>1.06</v>
      </c>
      <c r="P162">
        <f>SmtRes!AG199</f>
        <v>0</v>
      </c>
      <c r="Q162">
        <f>SmtRes!DC199</f>
        <v>0</v>
      </c>
      <c r="R162">
        <f>ROUND(ROUND(Q162*Source!I264, 2)*1, 2)</f>
        <v>0</v>
      </c>
      <c r="S162">
        <f>SmtRes!AC199</f>
        <v>0</v>
      </c>
      <c r="T162">
        <f>ROUND(ROUND(Q162*Source!I264, 2)*SmtRes!AK199, 2)</f>
        <v>0</v>
      </c>
      <c r="U162">
        <v>2</v>
      </c>
      <c r="Z162">
        <f>SmtRes!X199</f>
        <v>11972859</v>
      </c>
      <c r="AA162">
        <v>-1956597062</v>
      </c>
      <c r="AB162">
        <v>-1264283530</v>
      </c>
    </row>
    <row r="163" spans="1:28" x14ac:dyDescent="0.2">
      <c r="A163">
        <v>20</v>
      </c>
      <c r="B163">
        <v>198</v>
      </c>
      <c r="C163">
        <v>2</v>
      </c>
      <c r="D163">
        <v>0</v>
      </c>
      <c r="E163">
        <f>SmtRes!AV198</f>
        <v>0</v>
      </c>
      <c r="F163" t="str">
        <f>SmtRes!I198</f>
        <v>021246</v>
      </c>
      <c r="G163" t="str">
        <f>SmtRes!K198</f>
        <v>Краны на гусеничном ходу при работе на других видах строительства 50-63 т</v>
      </c>
      <c r="H163" t="str">
        <f>SmtRes!O198</f>
        <v>маш.-ч</v>
      </c>
      <c r="I163">
        <f>SmtRes!Y198*Source!I264</f>
        <v>0.30240000000000006</v>
      </c>
      <c r="J163">
        <f>SmtRes!AO198</f>
        <v>1</v>
      </c>
      <c r="K163">
        <f>SmtRes!AF198</f>
        <v>311.41000000000003</v>
      </c>
      <c r="L163">
        <f>SmtRes!DB198</f>
        <v>697.56</v>
      </c>
      <c r="M163">
        <f>ROUND(ROUND(L163*Source!I264, 2)*1, 2)</f>
        <v>94.17</v>
      </c>
      <c r="N163">
        <f>SmtRes!AB198</f>
        <v>3366.34</v>
      </c>
      <c r="O163">
        <f>ROUND(ROUND(L163*Source!I264, 2)*SmtRes!DA198, 2)</f>
        <v>1017.98</v>
      </c>
      <c r="P163">
        <f>SmtRes!AG198</f>
        <v>22.45</v>
      </c>
      <c r="Q163">
        <f>SmtRes!DC198</f>
        <v>50.29</v>
      </c>
      <c r="R163">
        <f>ROUND(ROUND(Q163*Source!I264, 2)*1, 2)</f>
        <v>6.79</v>
      </c>
      <c r="S163">
        <f>SmtRes!AC198</f>
        <v>791.81</v>
      </c>
      <c r="T163">
        <f>ROUND(ROUND(Q163*Source!I264, 2)*SmtRes!AK198, 2)</f>
        <v>239.48</v>
      </c>
      <c r="U163">
        <v>2</v>
      </c>
      <c r="Z163">
        <f>SmtRes!X198</f>
        <v>367004957</v>
      </c>
      <c r="AA163">
        <v>-1175642041</v>
      </c>
      <c r="AB163">
        <v>784150054</v>
      </c>
    </row>
    <row r="164" spans="1:28" x14ac:dyDescent="0.2">
      <c r="A164">
        <v>20</v>
      </c>
      <c r="B164">
        <v>197</v>
      </c>
      <c r="C164">
        <v>2</v>
      </c>
      <c r="D164">
        <v>0</v>
      </c>
      <c r="E164">
        <f>SmtRes!AV197</f>
        <v>0</v>
      </c>
      <c r="F164" t="str">
        <f>SmtRes!I197</f>
        <v>021245</v>
      </c>
      <c r="G164" t="str">
        <f>SmtRes!K197</f>
        <v>Краны на гусеничном ходу при работе на других видах строительства 40 т</v>
      </c>
      <c r="H164" t="str">
        <f>SmtRes!O197</f>
        <v>маш.-ч</v>
      </c>
      <c r="I164">
        <f>SmtRes!Y197*Source!I264</f>
        <v>0.66015000000000001</v>
      </c>
      <c r="J164">
        <f>SmtRes!AO197</f>
        <v>1</v>
      </c>
      <c r="K164">
        <f>SmtRes!AF197</f>
        <v>187.45</v>
      </c>
      <c r="L164">
        <f>SmtRes!DB197</f>
        <v>916.63</v>
      </c>
      <c r="M164">
        <f>ROUND(ROUND(L164*Source!I264, 2)*1, 2)</f>
        <v>123.75</v>
      </c>
      <c r="N164">
        <f>SmtRes!AB197</f>
        <v>2397.4899999999998</v>
      </c>
      <c r="O164">
        <f>ROUND(ROUND(L164*Source!I264, 2)*SmtRes!DA197, 2)</f>
        <v>1582.76</v>
      </c>
      <c r="P164">
        <f>SmtRes!AG197</f>
        <v>12.9</v>
      </c>
      <c r="Q164">
        <f>SmtRes!DC197</f>
        <v>63.08</v>
      </c>
      <c r="R164">
        <f>ROUND(ROUND(Q164*Source!I264, 2)*1, 2)</f>
        <v>8.52</v>
      </c>
      <c r="S164">
        <f>SmtRes!AC197</f>
        <v>454.98</v>
      </c>
      <c r="T164">
        <f>ROUND(ROUND(Q164*Source!I264, 2)*SmtRes!AK197, 2)</f>
        <v>300.5</v>
      </c>
      <c r="U164">
        <v>2</v>
      </c>
      <c r="Z164">
        <f>SmtRes!X197</f>
        <v>-634994428</v>
      </c>
      <c r="AA164">
        <v>-1271991085</v>
      </c>
      <c r="AB164">
        <v>-534232308</v>
      </c>
    </row>
    <row r="165" spans="1:28" x14ac:dyDescent="0.2">
      <c r="A165">
        <v>20</v>
      </c>
      <c r="B165">
        <v>196</v>
      </c>
      <c r="C165">
        <v>2</v>
      </c>
      <c r="D165">
        <v>0</v>
      </c>
      <c r="E165">
        <f>SmtRes!AV196</f>
        <v>0</v>
      </c>
      <c r="F165" t="str">
        <f>SmtRes!I196</f>
        <v>021202</v>
      </c>
      <c r="G165" t="str">
        <f>SmtRes!K196</f>
        <v>Краны на гусеничном ходу при работе на монтаже технологического оборудования 25 т</v>
      </c>
      <c r="H165" t="str">
        <f>SmtRes!O196</f>
        <v>маш.-ч</v>
      </c>
      <c r="I165">
        <f>SmtRes!Y196*Source!I264</f>
        <v>0.78300000000000003</v>
      </c>
      <c r="J165">
        <f>SmtRes!AO196</f>
        <v>1</v>
      </c>
      <c r="K165">
        <f>SmtRes!AF196</f>
        <v>144.47</v>
      </c>
      <c r="L165">
        <f>SmtRes!DB196</f>
        <v>837.93</v>
      </c>
      <c r="M165">
        <f>ROUND(ROUND(L165*Source!I264, 2)*1, 2)</f>
        <v>113.12</v>
      </c>
      <c r="N165">
        <f>SmtRes!AB196</f>
        <v>1527.05</v>
      </c>
      <c r="O165">
        <f>ROUND(ROUND(L165*Source!I264, 2)*SmtRes!DA196, 2)</f>
        <v>1195.68</v>
      </c>
      <c r="P165">
        <f>SmtRes!AG196</f>
        <v>12.1</v>
      </c>
      <c r="Q165">
        <f>SmtRes!DC196</f>
        <v>70.180000000000007</v>
      </c>
      <c r="R165">
        <f>ROUND(ROUND(Q165*Source!I264, 2)*1, 2)</f>
        <v>9.4700000000000006</v>
      </c>
      <c r="S165">
        <f>SmtRes!AC196</f>
        <v>426.77</v>
      </c>
      <c r="T165">
        <f>ROUND(ROUND(Q165*Source!I264, 2)*SmtRes!AK196, 2)</f>
        <v>334.01</v>
      </c>
      <c r="U165">
        <v>2</v>
      </c>
      <c r="Z165">
        <f>SmtRes!X196</f>
        <v>1842418400</v>
      </c>
      <c r="AA165">
        <v>1672586092</v>
      </c>
      <c r="AB165">
        <v>-1067913359</v>
      </c>
    </row>
    <row r="166" spans="1:28" x14ac:dyDescent="0.2">
      <c r="A166">
        <v>20</v>
      </c>
      <c r="B166">
        <v>195</v>
      </c>
      <c r="C166">
        <v>2</v>
      </c>
      <c r="D166">
        <v>0</v>
      </c>
      <c r="E166">
        <f>SmtRes!AV195</f>
        <v>0</v>
      </c>
      <c r="F166" t="str">
        <f>SmtRes!I195</f>
        <v>021141</v>
      </c>
      <c r="G166" t="str">
        <f>SmtRes!K195</f>
        <v>Краны на автомобильном ходу при работе на других видах строительства 10 т</v>
      </c>
      <c r="H166" t="str">
        <f>SmtRes!O195</f>
        <v>маш.-ч</v>
      </c>
      <c r="I166">
        <f>SmtRes!Y195*Source!I264</f>
        <v>4.5900000000000003E-2</v>
      </c>
      <c r="J166">
        <f>SmtRes!AO195</f>
        <v>1</v>
      </c>
      <c r="K166">
        <f>SmtRes!AF195</f>
        <v>124.14</v>
      </c>
      <c r="L166">
        <f>SmtRes!DB195</f>
        <v>42.21</v>
      </c>
      <c r="M166">
        <f>ROUND(ROUND(L166*Source!I264, 2)*1, 2)</f>
        <v>5.7</v>
      </c>
      <c r="N166">
        <f>SmtRes!AB195</f>
        <v>1453.68</v>
      </c>
      <c r="O166">
        <f>ROUND(ROUND(L166*Source!I264, 2)*SmtRes!DA195, 2)</f>
        <v>66.75</v>
      </c>
      <c r="P166">
        <f>SmtRes!AG195</f>
        <v>12.1</v>
      </c>
      <c r="Q166">
        <f>SmtRes!DC195</f>
        <v>4.1100000000000003</v>
      </c>
      <c r="R166">
        <f>ROUND(ROUND(Q166*Source!I264, 2)*1, 2)</f>
        <v>0.55000000000000004</v>
      </c>
      <c r="S166">
        <f>SmtRes!AC195</f>
        <v>426.77</v>
      </c>
      <c r="T166">
        <f>ROUND(ROUND(Q166*Source!I264, 2)*SmtRes!AK195, 2)</f>
        <v>19.399999999999999</v>
      </c>
      <c r="U166">
        <v>2</v>
      </c>
      <c r="Z166">
        <f>SmtRes!X195</f>
        <v>1447433125</v>
      </c>
      <c r="AA166">
        <v>1854632627</v>
      </c>
      <c r="AB166">
        <v>887395808</v>
      </c>
    </row>
    <row r="167" spans="1:28" x14ac:dyDescent="0.2">
      <c r="A167">
        <v>20</v>
      </c>
      <c r="B167">
        <v>194</v>
      </c>
      <c r="C167">
        <v>2</v>
      </c>
      <c r="D167">
        <v>0</v>
      </c>
      <c r="E167">
        <f>SmtRes!AV194</f>
        <v>0</v>
      </c>
      <c r="F167" t="str">
        <f>SmtRes!I194</f>
        <v>020403</v>
      </c>
      <c r="G167" t="str">
        <f>SmtRes!K194</f>
        <v>Краны козловые при работе на монтаже технологического оборудования 32 т</v>
      </c>
      <c r="H167" t="str">
        <f>SmtRes!O194</f>
        <v>маш.-ч</v>
      </c>
      <c r="I167">
        <f>SmtRes!Y194*Source!I264</f>
        <v>0.12015000000000001</v>
      </c>
      <c r="J167">
        <f>SmtRes!AO194</f>
        <v>1</v>
      </c>
      <c r="K167">
        <f>SmtRes!AF194</f>
        <v>159.85</v>
      </c>
      <c r="L167">
        <f>SmtRes!DB194</f>
        <v>142.27000000000001</v>
      </c>
      <c r="M167">
        <f>ROUND(ROUND(L167*Source!I264, 2)*1, 2)</f>
        <v>19.21</v>
      </c>
      <c r="N167">
        <f>SmtRes!AB194</f>
        <v>1791.92</v>
      </c>
      <c r="O167">
        <f>ROUND(ROUND(L167*Source!I264, 2)*SmtRes!DA194, 2)</f>
        <v>215.34</v>
      </c>
      <c r="P167">
        <f>SmtRes!AG194</f>
        <v>13.78</v>
      </c>
      <c r="Q167">
        <f>SmtRes!DC194</f>
        <v>12.26</v>
      </c>
      <c r="R167">
        <f>ROUND(ROUND(Q167*Source!I264, 2)*1, 2)</f>
        <v>1.66</v>
      </c>
      <c r="S167">
        <f>SmtRes!AC194</f>
        <v>486.02</v>
      </c>
      <c r="T167">
        <f>ROUND(ROUND(Q167*Source!I264, 2)*SmtRes!AK194, 2)</f>
        <v>58.55</v>
      </c>
      <c r="U167">
        <v>2</v>
      </c>
      <c r="Z167">
        <f>SmtRes!X194</f>
        <v>1827899330</v>
      </c>
      <c r="AA167">
        <v>819171878</v>
      </c>
      <c r="AB167">
        <v>-910470663</v>
      </c>
    </row>
    <row r="168" spans="1:28" x14ac:dyDescent="0.2">
      <c r="A168">
        <v>20</v>
      </c>
      <c r="B168">
        <v>192</v>
      </c>
      <c r="C168">
        <v>1</v>
      </c>
      <c r="D168">
        <v>0</v>
      </c>
      <c r="E168">
        <f>SmtRes!AV192</f>
        <v>1</v>
      </c>
      <c r="F168" t="str">
        <f>SmtRes!I192</f>
        <v>1-1035-21</v>
      </c>
      <c r="G168" t="str">
        <f>SmtRes!K192</f>
        <v>Рабочий строитель среднего разряда 3,5</v>
      </c>
      <c r="H168" t="str">
        <f>SmtRes!O192</f>
        <v>чел.-ч</v>
      </c>
      <c r="I168">
        <f>SmtRes!Y192*Source!I264</f>
        <v>14.212800000000001</v>
      </c>
      <c r="J168">
        <f>SmtRes!AO192</f>
        <v>1</v>
      </c>
      <c r="K168">
        <f>SmtRes!AH192</f>
        <v>8.48</v>
      </c>
      <c r="L168">
        <f>SmtRes!DB192</f>
        <v>892.77</v>
      </c>
      <c r="M168">
        <f>ROUND(ROUND(L168*Source!I264, 2)*1, 2)</f>
        <v>120.52</v>
      </c>
      <c r="N168">
        <f>SmtRes!AD192</f>
        <v>8.48</v>
      </c>
      <c r="O168">
        <f>ROUND(ROUND(L168*Source!I264, 2)*SmtRes!DA192, 2)</f>
        <v>120.52</v>
      </c>
      <c r="P168">
        <f>SmtRes!AG192</f>
        <v>0</v>
      </c>
      <c r="Q168">
        <f>SmtRes!DC192</f>
        <v>0</v>
      </c>
      <c r="R168">
        <f>ROUND(ROUND(Q168*Source!I264, 2)*1, 2)</f>
        <v>0</v>
      </c>
      <c r="S168">
        <f>SmtRes!AC192</f>
        <v>0</v>
      </c>
      <c r="T168">
        <f>ROUND(ROUND(Q168*Source!I264, 2)*SmtRes!AK192, 2)</f>
        <v>0</v>
      </c>
      <c r="U168">
        <v>1</v>
      </c>
      <c r="Z168">
        <f>SmtRes!X192</f>
        <v>2002501603</v>
      </c>
      <c r="AA168">
        <v>1980744066</v>
      </c>
      <c r="AB168">
        <v>-1857114646</v>
      </c>
    </row>
    <row r="169" spans="1:28" x14ac:dyDescent="0.2">
      <c r="A169">
        <f>Source!A268</f>
        <v>17</v>
      </c>
      <c r="B169">
        <v>268</v>
      </c>
      <c r="C169">
        <v>3</v>
      </c>
      <c r="D169">
        <f>Source!BI268</f>
        <v>1</v>
      </c>
      <c r="E169">
        <f>Source!FS268</f>
        <v>0</v>
      </c>
      <c r="F169" t="str">
        <f>Source!F268</f>
        <v>101-4564</v>
      </c>
      <c r="G169" t="str">
        <f>Source!G268</f>
        <v>Профнастил оцинкованный с покрытием полиэстер C10-1100-0,5</v>
      </c>
      <c r="H169" t="str">
        <f>Source!H268</f>
        <v>м2</v>
      </c>
      <c r="I169">
        <f>Source!I268</f>
        <v>14.85</v>
      </c>
      <c r="J169">
        <v>1</v>
      </c>
      <c r="K169">
        <f>Source!AC268</f>
        <v>58.92</v>
      </c>
      <c r="M169">
        <f>ROUND(K169*I169, 2)</f>
        <v>874.96</v>
      </c>
      <c r="N169">
        <f>Source!AC268*IF(Source!BC268&lt;&gt; 0, Source!BC268, 1)</f>
        <v>589.78920000000005</v>
      </c>
      <c r="O169">
        <f>ROUND(N169*I169, 2)</f>
        <v>8758.3700000000008</v>
      </c>
      <c r="P169">
        <f>Source!AE268</f>
        <v>0</v>
      </c>
      <c r="R169">
        <f>ROUND(P169*I169, 2)</f>
        <v>0</v>
      </c>
      <c r="S169">
        <f>Source!AE268*IF(Source!BS268&lt;&gt; 0, Source!BS268, 1)</f>
        <v>0</v>
      </c>
      <c r="T169">
        <f>ROUND(S169*I169, 2)</f>
        <v>0</v>
      </c>
      <c r="U169">
        <v>3</v>
      </c>
      <c r="Z169">
        <f>Source!GF268</f>
        <v>1819256857</v>
      </c>
      <c r="AA169">
        <v>-752813287</v>
      </c>
      <c r="AB169">
        <v>271598368</v>
      </c>
    </row>
    <row r="170" spans="1:28" x14ac:dyDescent="0.2">
      <c r="A170">
        <f>Source!A269</f>
        <v>17</v>
      </c>
      <c r="B170">
        <v>269</v>
      </c>
      <c r="C170">
        <v>3</v>
      </c>
      <c r="D170">
        <f>Source!BI269</f>
        <v>1</v>
      </c>
      <c r="E170">
        <f>Source!FS269</f>
        <v>0</v>
      </c>
      <c r="F170" t="str">
        <f>Source!F269</f>
        <v>101-1810</v>
      </c>
      <c r="G170" t="str">
        <f>Source!G269</f>
        <v>Винты самонарезающие для крепления профилированного настила и панелей к несущим конструкциям</v>
      </c>
      <c r="H170" t="str">
        <f>Source!H269</f>
        <v>т</v>
      </c>
      <c r="I170">
        <f>Source!I269</f>
        <v>4.0000000000000001E-3</v>
      </c>
      <c r="J170">
        <v>1</v>
      </c>
      <c r="K170">
        <f>Source!AC269</f>
        <v>35011</v>
      </c>
      <c r="M170">
        <f>ROUND(K170*I170, 2)</f>
        <v>140.04</v>
      </c>
      <c r="N170">
        <f>Source!AC269*IF(Source!BC269&lt;&gt; 0, Source!BC269, 1)</f>
        <v>375317.92000000004</v>
      </c>
      <c r="O170">
        <f>ROUND(N170*I170, 2)</f>
        <v>1501.27</v>
      </c>
      <c r="P170">
        <f>Source!AE269</f>
        <v>0</v>
      </c>
      <c r="R170">
        <f>ROUND(P170*I170, 2)</f>
        <v>0</v>
      </c>
      <c r="S170">
        <f>Source!AE269*IF(Source!BS269&lt;&gt; 0, Source!BS269, 1)</f>
        <v>0</v>
      </c>
      <c r="T170">
        <f>ROUND(S170*I170, 2)</f>
        <v>0</v>
      </c>
      <c r="U170">
        <v>3</v>
      </c>
      <c r="Z170">
        <f>Source!GF269</f>
        <v>-1995361764</v>
      </c>
      <c r="AA170">
        <v>2138900808</v>
      </c>
      <c r="AB170">
        <v>1578314395</v>
      </c>
    </row>
    <row r="171" spans="1:28" x14ac:dyDescent="0.2">
      <c r="A171">
        <f>Source!A271</f>
        <v>17</v>
      </c>
      <c r="B171">
        <v>271</v>
      </c>
      <c r="C171">
        <v>3</v>
      </c>
      <c r="D171">
        <f>Source!BI271</f>
        <v>1</v>
      </c>
      <c r="E171">
        <f>Source!FS271</f>
        <v>0</v>
      </c>
      <c r="F171" t="str">
        <f>Source!F271</f>
        <v>301-7567</v>
      </c>
      <c r="G171" t="str">
        <f>Source!G271</f>
        <v>Контейнер мусоросборный К-1 для мусоропровода</v>
      </c>
      <c r="H171" t="str">
        <f>Source!H271</f>
        <v>шт.</v>
      </c>
      <c r="I171">
        <f>Source!I271</f>
        <v>3</v>
      </c>
      <c r="J171">
        <v>1</v>
      </c>
      <c r="K171">
        <f>Source!AC271</f>
        <v>2825.71</v>
      </c>
      <c r="M171">
        <f>ROUND(K171*I171, 2)</f>
        <v>8477.1299999999992</v>
      </c>
      <c r="N171">
        <f>Source!AC271*IF(Source!BC271&lt;&gt; 0, Source!BC271, 1)</f>
        <v>16954.260000000002</v>
      </c>
      <c r="O171">
        <f>ROUND(N171*I171, 2)</f>
        <v>50862.78</v>
      </c>
      <c r="P171">
        <f>Source!AE271</f>
        <v>0</v>
      </c>
      <c r="R171">
        <f>ROUND(P171*I171, 2)</f>
        <v>0</v>
      </c>
      <c r="S171">
        <f>Source!AE271*IF(Source!BS271&lt;&gt; 0, Source!BS271, 1)</f>
        <v>0</v>
      </c>
      <c r="T171">
        <f>ROUND(S171*I171, 2)</f>
        <v>0</v>
      </c>
      <c r="U171">
        <v>3</v>
      </c>
      <c r="Z171">
        <f>Source!GF271</f>
        <v>634479423</v>
      </c>
      <c r="AA171">
        <v>1554800843</v>
      </c>
      <c r="AB171">
        <v>-288293947</v>
      </c>
    </row>
    <row r="172" spans="1:28" x14ac:dyDescent="0.2">
      <c r="A172">
        <f>Source!A311</f>
        <v>4</v>
      </c>
      <c r="B172">
        <v>311</v>
      </c>
      <c r="G172" t="str">
        <f>Source!G311</f>
        <v>Площадка для прощания</v>
      </c>
    </row>
    <row r="173" spans="1:28" x14ac:dyDescent="0.2">
      <c r="A173">
        <v>20</v>
      </c>
      <c r="B173">
        <v>236</v>
      </c>
      <c r="C173">
        <v>3</v>
      </c>
      <c r="D173">
        <v>0</v>
      </c>
      <c r="E173">
        <f>SmtRes!AV236</f>
        <v>0</v>
      </c>
      <c r="F173" t="str">
        <f>SmtRes!I236</f>
        <v>411-0001</v>
      </c>
      <c r="G173" t="str">
        <f>SmtRes!K236</f>
        <v>Вода</v>
      </c>
      <c r="H173" t="str">
        <f>SmtRes!O236</f>
        <v>м3</v>
      </c>
      <c r="I173">
        <f>SmtRes!Y236*Source!I315</f>
        <v>7.1999999999999998E-3</v>
      </c>
      <c r="J173">
        <f>SmtRes!AO236</f>
        <v>1</v>
      </c>
      <c r="K173">
        <f>SmtRes!AE236</f>
        <v>2.4700000000000002</v>
      </c>
      <c r="L173">
        <f>SmtRes!DB236</f>
        <v>0.49</v>
      </c>
      <c r="M173">
        <f>ROUND(ROUND(L173*Source!I315, 2)*1, 2)</f>
        <v>0.02</v>
      </c>
      <c r="N173">
        <f>SmtRes!AA236</f>
        <v>19.59</v>
      </c>
      <c r="O173">
        <f>ROUND(ROUND(L173*Source!I315, 2)*SmtRes!DA236, 2)</f>
        <v>0.16</v>
      </c>
      <c r="P173">
        <f>SmtRes!AG236</f>
        <v>0</v>
      </c>
      <c r="Q173">
        <f>SmtRes!DC236</f>
        <v>0</v>
      </c>
      <c r="R173">
        <f>ROUND(ROUND(Q173*Source!I315, 2)*1, 2)</f>
        <v>0</v>
      </c>
      <c r="S173">
        <f>SmtRes!AC236</f>
        <v>0</v>
      </c>
      <c r="T173">
        <f>ROUND(ROUND(Q173*Source!I315, 2)*SmtRes!AK236, 2)</f>
        <v>0</v>
      </c>
      <c r="U173">
        <v>3</v>
      </c>
      <c r="Z173">
        <f>SmtRes!X236</f>
        <v>-1418712732</v>
      </c>
      <c r="AA173">
        <v>-1607643924</v>
      </c>
      <c r="AB173">
        <v>868455164</v>
      </c>
    </row>
    <row r="174" spans="1:28" x14ac:dyDescent="0.2">
      <c r="A174">
        <v>20</v>
      </c>
      <c r="B174">
        <v>234</v>
      </c>
      <c r="C174">
        <v>3</v>
      </c>
      <c r="D174">
        <v>0</v>
      </c>
      <c r="E174">
        <f>SmtRes!AV234</f>
        <v>0</v>
      </c>
      <c r="F174" t="str">
        <f>SmtRes!I234</f>
        <v>101-1668</v>
      </c>
      <c r="G174" t="str">
        <f>SmtRes!K234</f>
        <v>Рогожа</v>
      </c>
      <c r="H174" t="str">
        <f>SmtRes!O234</f>
        <v>м2</v>
      </c>
      <c r="I174">
        <f>SmtRes!Y234*Source!I315</f>
        <v>9</v>
      </c>
      <c r="J174">
        <f>SmtRes!AO234</f>
        <v>1</v>
      </c>
      <c r="K174">
        <f>SmtRes!AE234</f>
        <v>10.199999999999999</v>
      </c>
      <c r="L174">
        <f>SmtRes!DB234</f>
        <v>2550</v>
      </c>
      <c r="M174">
        <f>ROUND(ROUND(L174*Source!I315, 2)*1, 2)</f>
        <v>91.8</v>
      </c>
      <c r="N174">
        <f>SmtRes!AA234</f>
        <v>52.22</v>
      </c>
      <c r="O174">
        <f>ROUND(ROUND(L174*Source!I315, 2)*SmtRes!DA234, 2)</f>
        <v>470.02</v>
      </c>
      <c r="P174">
        <f>SmtRes!AG234</f>
        <v>0</v>
      </c>
      <c r="Q174">
        <f>SmtRes!DC234</f>
        <v>0</v>
      </c>
      <c r="R174">
        <f>ROUND(ROUND(Q174*Source!I315, 2)*1, 2)</f>
        <v>0</v>
      </c>
      <c r="S174">
        <f>SmtRes!AC234</f>
        <v>0</v>
      </c>
      <c r="T174">
        <f>ROUND(ROUND(Q174*Source!I315, 2)*SmtRes!AK234, 2)</f>
        <v>0</v>
      </c>
      <c r="U174">
        <v>3</v>
      </c>
      <c r="Z174">
        <f>SmtRes!X234</f>
        <v>-602309479</v>
      </c>
      <c r="AA174">
        <v>-1610479409</v>
      </c>
      <c r="AB174">
        <v>-1601764222</v>
      </c>
    </row>
    <row r="175" spans="1:28" x14ac:dyDescent="0.2">
      <c r="A175">
        <v>20</v>
      </c>
      <c r="B175">
        <v>233</v>
      </c>
      <c r="C175">
        <v>2</v>
      </c>
      <c r="D175">
        <v>0</v>
      </c>
      <c r="E175">
        <f>SmtRes!AV233</f>
        <v>0</v>
      </c>
      <c r="F175" t="str">
        <f>SmtRes!I233</f>
        <v>400001</v>
      </c>
      <c r="G175" t="str">
        <f>SmtRes!K233</f>
        <v>Автомобили бортовые, грузоподъемность до 5 т</v>
      </c>
      <c r="H175" t="str">
        <f>SmtRes!O233</f>
        <v>маш.-ч</v>
      </c>
      <c r="I175">
        <f>SmtRes!Y233*Source!I315</f>
        <v>4.6800000000000001E-3</v>
      </c>
      <c r="J175">
        <f>SmtRes!AO233</f>
        <v>1</v>
      </c>
      <c r="K175">
        <f>SmtRes!AF233</f>
        <v>91.76</v>
      </c>
      <c r="L175">
        <f>SmtRes!DB233</f>
        <v>11.93</v>
      </c>
      <c r="M175">
        <f>ROUND(ROUND(L175*Source!I315, 2)*1, 2)</f>
        <v>0.43</v>
      </c>
      <c r="N175">
        <f>SmtRes!AB233</f>
        <v>1305.74</v>
      </c>
      <c r="O175">
        <f>ROUND(ROUND(L175*Source!I315, 2)*SmtRes!DA233, 2)</f>
        <v>6.12</v>
      </c>
      <c r="P175">
        <f>SmtRes!AG233</f>
        <v>10.35</v>
      </c>
      <c r="Q175">
        <f>SmtRes!DC233</f>
        <v>1.35</v>
      </c>
      <c r="R175">
        <f>ROUND(ROUND(Q175*Source!I315, 2)*1, 2)</f>
        <v>0.05</v>
      </c>
      <c r="S175">
        <f>SmtRes!AC233</f>
        <v>365.04</v>
      </c>
      <c r="T175">
        <f>ROUND(ROUND(Q175*Source!I315, 2)*SmtRes!AK233, 2)</f>
        <v>1.76</v>
      </c>
      <c r="U175">
        <v>2</v>
      </c>
      <c r="Z175">
        <f>SmtRes!X233</f>
        <v>-671646184</v>
      </c>
      <c r="AA175">
        <v>807713937</v>
      </c>
      <c r="AB175">
        <v>1619992053</v>
      </c>
    </row>
    <row r="176" spans="1:28" x14ac:dyDescent="0.2">
      <c r="A176">
        <v>20</v>
      </c>
      <c r="B176">
        <v>232</v>
      </c>
      <c r="C176">
        <v>2</v>
      </c>
      <c r="D176">
        <v>0</v>
      </c>
      <c r="E176">
        <f>SmtRes!AV232</f>
        <v>0</v>
      </c>
      <c r="F176" t="str">
        <f>SmtRes!I232</f>
        <v>111301</v>
      </c>
      <c r="G176" t="str">
        <f>SmtRes!K232</f>
        <v>Вибратор поверхностный</v>
      </c>
      <c r="H176" t="str">
        <f>SmtRes!O232</f>
        <v>маш.-ч</v>
      </c>
      <c r="I176">
        <f>SmtRes!Y232*Source!I315</f>
        <v>1.7279999999999998</v>
      </c>
      <c r="J176">
        <f>SmtRes!AO232</f>
        <v>1</v>
      </c>
      <c r="K176">
        <f>SmtRes!AF232</f>
        <v>0.66</v>
      </c>
      <c r="L176">
        <f>SmtRes!DB232</f>
        <v>31.68</v>
      </c>
      <c r="M176">
        <f>ROUND(ROUND(L176*Source!I315, 2)*1, 2)</f>
        <v>1.1399999999999999</v>
      </c>
      <c r="N176">
        <f>SmtRes!AB232</f>
        <v>6.26</v>
      </c>
      <c r="O176">
        <f>ROUND(ROUND(L176*Source!I315, 2)*SmtRes!DA232, 2)</f>
        <v>10.81</v>
      </c>
      <c r="P176">
        <f>SmtRes!AG232</f>
        <v>0</v>
      </c>
      <c r="Q176">
        <f>SmtRes!DC232</f>
        <v>0</v>
      </c>
      <c r="R176">
        <f>ROUND(ROUND(Q176*Source!I315, 2)*1, 2)</f>
        <v>0</v>
      </c>
      <c r="S176">
        <f>SmtRes!AC232</f>
        <v>0</v>
      </c>
      <c r="T176">
        <f>ROUND(ROUND(Q176*Source!I315, 2)*SmtRes!AK232, 2)</f>
        <v>0</v>
      </c>
      <c r="U176">
        <v>2</v>
      </c>
      <c r="Z176">
        <f>SmtRes!X232</f>
        <v>736086632</v>
      </c>
      <c r="AA176">
        <v>-1529557737</v>
      </c>
      <c r="AB176">
        <v>-2061922166</v>
      </c>
    </row>
    <row r="177" spans="1:28" x14ac:dyDescent="0.2">
      <c r="A177">
        <v>20</v>
      </c>
      <c r="B177">
        <v>231</v>
      </c>
      <c r="C177">
        <v>2</v>
      </c>
      <c r="D177">
        <v>0</v>
      </c>
      <c r="E177">
        <f>SmtRes!AV231</f>
        <v>0</v>
      </c>
      <c r="F177" t="str">
        <f>SmtRes!I231</f>
        <v>020129</v>
      </c>
      <c r="G177" t="str">
        <f>SmtRes!K231</f>
        <v>Краны башенные при работе на других видах строительства 8 т</v>
      </c>
      <c r="H177" t="str">
        <f>SmtRes!O231</f>
        <v>маш.-ч</v>
      </c>
      <c r="I177">
        <f>SmtRes!Y231*Source!I315</f>
        <v>0.64799999999999991</v>
      </c>
      <c r="J177">
        <f>SmtRes!AO231</f>
        <v>1</v>
      </c>
      <c r="K177">
        <f>SmtRes!AF231</f>
        <v>103.49</v>
      </c>
      <c r="L177">
        <f>SmtRes!DB231</f>
        <v>1862.82</v>
      </c>
      <c r="M177">
        <f>ROUND(ROUND(L177*Source!I315, 2)*1, 2)</f>
        <v>67.06</v>
      </c>
      <c r="N177">
        <f>SmtRes!AB231</f>
        <v>1247.05</v>
      </c>
      <c r="O177">
        <f>ROUND(ROUND(L177*Source!I315, 2)*SmtRes!DA231, 2)</f>
        <v>808.07</v>
      </c>
      <c r="P177">
        <f>SmtRes!AG231</f>
        <v>12.1</v>
      </c>
      <c r="Q177">
        <f>SmtRes!DC231</f>
        <v>217.8</v>
      </c>
      <c r="R177">
        <f>ROUND(ROUND(Q177*Source!I315, 2)*1, 2)</f>
        <v>7.84</v>
      </c>
      <c r="S177">
        <f>SmtRes!AC231</f>
        <v>426.77</v>
      </c>
      <c r="T177">
        <f>ROUND(ROUND(Q177*Source!I315, 2)*SmtRes!AK231, 2)</f>
        <v>276.52</v>
      </c>
      <c r="U177">
        <v>2</v>
      </c>
      <c r="Z177">
        <f>SmtRes!X231</f>
        <v>1604115853</v>
      </c>
      <c r="AA177">
        <v>36607545</v>
      </c>
      <c r="AB177">
        <v>925327548</v>
      </c>
    </row>
    <row r="178" spans="1:28" x14ac:dyDescent="0.2">
      <c r="A178">
        <v>20</v>
      </c>
      <c r="B178">
        <v>229</v>
      </c>
      <c r="C178">
        <v>1</v>
      </c>
      <c r="D178">
        <v>0</v>
      </c>
      <c r="E178">
        <f>SmtRes!AV229</f>
        <v>1</v>
      </c>
      <c r="F178" t="str">
        <f>SmtRes!I229</f>
        <v>1-1020-21</v>
      </c>
      <c r="G178" t="str">
        <f>SmtRes!K229</f>
        <v>Рабочий строитель среднего разряда 2</v>
      </c>
      <c r="H178" t="str">
        <f>SmtRes!O229</f>
        <v>чел.-ч</v>
      </c>
      <c r="I178">
        <f>SmtRes!Y229*Source!I315</f>
        <v>6.4799999999999995</v>
      </c>
      <c r="J178">
        <f>SmtRes!AO229</f>
        <v>1</v>
      </c>
      <c r="K178">
        <f>SmtRes!AH229</f>
        <v>7.29</v>
      </c>
      <c r="L178">
        <f>SmtRes!DB229</f>
        <v>1312.2</v>
      </c>
      <c r="M178">
        <f>ROUND(ROUND(L178*Source!I315, 2)*1, 2)</f>
        <v>47.24</v>
      </c>
      <c r="N178">
        <f>SmtRes!AD229</f>
        <v>7.29</v>
      </c>
      <c r="O178">
        <f>ROUND(ROUND(L178*Source!I315, 2)*SmtRes!DA229, 2)</f>
        <v>47.24</v>
      </c>
      <c r="P178">
        <f>SmtRes!AG229</f>
        <v>0</v>
      </c>
      <c r="Q178">
        <f>SmtRes!DC229</f>
        <v>0</v>
      </c>
      <c r="R178">
        <f>ROUND(ROUND(Q178*Source!I315, 2)*1, 2)</f>
        <v>0</v>
      </c>
      <c r="S178">
        <f>SmtRes!AC229</f>
        <v>0</v>
      </c>
      <c r="T178">
        <f>ROUND(ROUND(Q178*Source!I315, 2)*SmtRes!AK229, 2)</f>
        <v>0</v>
      </c>
      <c r="U178">
        <v>1</v>
      </c>
      <c r="Z178">
        <f>SmtRes!X229</f>
        <v>1250814213</v>
      </c>
      <c r="AA178">
        <v>777447757</v>
      </c>
      <c r="AB178">
        <v>-1697901350</v>
      </c>
    </row>
    <row r="179" spans="1:28" x14ac:dyDescent="0.2">
      <c r="A179">
        <f>Source!A317</f>
        <v>17</v>
      </c>
      <c r="B179">
        <v>317</v>
      </c>
      <c r="C179">
        <v>3</v>
      </c>
      <c r="D179">
        <f>Source!BI317</f>
        <v>1</v>
      </c>
      <c r="E179">
        <f>Source!FS317</f>
        <v>0</v>
      </c>
      <c r="F179" t="str">
        <f>Source!F317</f>
        <v>401-0066</v>
      </c>
      <c r="G179" t="str">
        <f>Source!G317</f>
        <v>Бетон тяжелый, крупность заполнителя 20 мм, класс В15 (М200)</v>
      </c>
      <c r="H179" t="str">
        <f>Source!H317</f>
        <v>м3</v>
      </c>
      <c r="I179">
        <f>Source!I317</f>
        <v>3.6720000000000002</v>
      </c>
      <c r="J179">
        <v>1</v>
      </c>
      <c r="K179">
        <f>Source!AC317</f>
        <v>633</v>
      </c>
      <c r="M179">
        <f>ROUND(K179*I179, 2)</f>
        <v>2324.38</v>
      </c>
      <c r="N179">
        <f>Source!AC317*IF(Source!BC317&lt;&gt; 0, Source!BC317, 1)</f>
        <v>7064.28</v>
      </c>
      <c r="O179">
        <f>ROUND(N179*I179, 2)</f>
        <v>25940.04</v>
      </c>
      <c r="P179">
        <f>Source!AE317</f>
        <v>0</v>
      </c>
      <c r="R179">
        <f>ROUND(P179*I179, 2)</f>
        <v>0</v>
      </c>
      <c r="S179">
        <f>Source!AE317*IF(Source!BS317&lt;&gt; 0, Source!BS317, 1)</f>
        <v>0</v>
      </c>
      <c r="T179">
        <f>ROUND(S179*I179, 2)</f>
        <v>0</v>
      </c>
      <c r="U179">
        <v>3</v>
      </c>
      <c r="Z179">
        <f>Source!GF317</f>
        <v>-1056028514</v>
      </c>
      <c r="AA179">
        <v>1831398067</v>
      </c>
      <c r="AB179">
        <v>735632363</v>
      </c>
    </row>
    <row r="180" spans="1:28" x14ac:dyDescent="0.2">
      <c r="A180">
        <v>20</v>
      </c>
      <c r="B180">
        <v>254</v>
      </c>
      <c r="C180">
        <v>3</v>
      </c>
      <c r="D180">
        <v>0</v>
      </c>
      <c r="E180">
        <f>SmtRes!AV254</f>
        <v>0</v>
      </c>
      <c r="F180" t="str">
        <f>SmtRes!I254</f>
        <v>411-0001</v>
      </c>
      <c r="G180" t="str">
        <f>SmtRes!K254</f>
        <v>Вода</v>
      </c>
      <c r="H180" t="str">
        <f>SmtRes!O254</f>
        <v>м3</v>
      </c>
      <c r="I180">
        <f>SmtRes!Y254*Source!I318</f>
        <v>2.1167999999999998E-3</v>
      </c>
      <c r="J180">
        <f>SmtRes!AO254</f>
        <v>1</v>
      </c>
      <c r="K180">
        <f>SmtRes!AE254</f>
        <v>2.4700000000000002</v>
      </c>
      <c r="L180">
        <f>SmtRes!DB254</f>
        <v>1.0900000000000001</v>
      </c>
      <c r="M180">
        <f>ROUND(ROUND(L180*Source!I318, 2)*1, 2)</f>
        <v>0.01</v>
      </c>
      <c r="N180">
        <f>SmtRes!AA254</f>
        <v>19.59</v>
      </c>
      <c r="O180">
        <f>ROUND(ROUND(L180*Source!I318, 2)*SmtRes!DA254, 2)</f>
        <v>0.08</v>
      </c>
      <c r="P180">
        <f>SmtRes!AG254</f>
        <v>0</v>
      </c>
      <c r="Q180">
        <f>SmtRes!DC254</f>
        <v>0</v>
      </c>
      <c r="R180">
        <f>ROUND(ROUND(Q180*Source!I318, 2)*1, 2)</f>
        <v>0</v>
      </c>
      <c r="S180">
        <f>SmtRes!AC254</f>
        <v>0</v>
      </c>
      <c r="T180">
        <f>ROUND(ROUND(Q180*Source!I318, 2)*SmtRes!AK254, 2)</f>
        <v>0</v>
      </c>
      <c r="U180">
        <v>3</v>
      </c>
      <c r="Z180">
        <f>SmtRes!X254</f>
        <v>-1418712732</v>
      </c>
      <c r="AA180">
        <v>-1607643924</v>
      </c>
      <c r="AB180">
        <v>868455164</v>
      </c>
    </row>
    <row r="181" spans="1:28" x14ac:dyDescent="0.2">
      <c r="A181">
        <v>20</v>
      </c>
      <c r="B181">
        <v>253</v>
      </c>
      <c r="C181">
        <v>3</v>
      </c>
      <c r="D181">
        <v>0</v>
      </c>
      <c r="E181">
        <f>SmtRes!AV253</f>
        <v>0</v>
      </c>
      <c r="F181" t="str">
        <f>SmtRes!I253</f>
        <v>405-0253</v>
      </c>
      <c r="G181" t="str">
        <f>SmtRes!K253</f>
        <v>Известь строительная негашеная комовая, сорт I</v>
      </c>
      <c r="H181" t="str">
        <f>SmtRes!O253</f>
        <v>т</v>
      </c>
      <c r="I181">
        <f>SmtRes!Y253*Source!I318</f>
        <v>1.2959999999999998E-4</v>
      </c>
      <c r="J181">
        <f>SmtRes!AO253</f>
        <v>1</v>
      </c>
      <c r="K181">
        <f>SmtRes!AE253</f>
        <v>489.82</v>
      </c>
      <c r="L181">
        <f>SmtRes!DB253</f>
        <v>13.23</v>
      </c>
      <c r="M181">
        <f>ROUND(ROUND(L181*Source!I318, 2)*1, 2)</f>
        <v>0.06</v>
      </c>
      <c r="N181">
        <f>SmtRes!AA253</f>
        <v>5221.4799999999996</v>
      </c>
      <c r="O181">
        <f>ROUND(ROUND(L181*Source!I318, 2)*SmtRes!DA253, 2)</f>
        <v>0.64</v>
      </c>
      <c r="P181">
        <f>SmtRes!AG253</f>
        <v>0</v>
      </c>
      <c r="Q181">
        <f>SmtRes!DC253</f>
        <v>0</v>
      </c>
      <c r="R181">
        <f>ROUND(ROUND(Q181*Source!I318, 2)*1, 2)</f>
        <v>0</v>
      </c>
      <c r="S181">
        <f>SmtRes!AC253</f>
        <v>0</v>
      </c>
      <c r="T181">
        <f>ROUND(ROUND(Q181*Source!I318, 2)*SmtRes!AK253, 2)</f>
        <v>0</v>
      </c>
      <c r="U181">
        <v>3</v>
      </c>
      <c r="Z181">
        <f>SmtRes!X253</f>
        <v>-491875681</v>
      </c>
      <c r="AA181">
        <v>729448315</v>
      </c>
      <c r="AB181">
        <v>1323157938</v>
      </c>
    </row>
    <row r="182" spans="1:28" x14ac:dyDescent="0.2">
      <c r="A182">
        <v>20</v>
      </c>
      <c r="B182">
        <v>252</v>
      </c>
      <c r="C182">
        <v>3</v>
      </c>
      <c r="D182">
        <v>0</v>
      </c>
      <c r="E182">
        <f>SmtRes!AV252</f>
        <v>0</v>
      </c>
      <c r="F182" t="str">
        <f>SmtRes!I252</f>
        <v>401-0066</v>
      </c>
      <c r="G182" t="str">
        <f>SmtRes!K252</f>
        <v>Бетон тяжелый, крупность заполнителя 20 мм, класс В15 (М200)</v>
      </c>
      <c r="H182" t="str">
        <f>SmtRes!O252</f>
        <v>м3</v>
      </c>
      <c r="I182">
        <f>SmtRes!Y252*Source!I318</f>
        <v>0.48719999999999997</v>
      </c>
      <c r="J182">
        <f>SmtRes!AO252</f>
        <v>1</v>
      </c>
      <c r="K182">
        <f>SmtRes!AE252</f>
        <v>633</v>
      </c>
      <c r="L182">
        <f>SmtRes!DB252</f>
        <v>64249.5</v>
      </c>
      <c r="M182">
        <f>ROUND(ROUND(L182*Source!I318, 2)*1, 2)</f>
        <v>308.39999999999998</v>
      </c>
      <c r="N182">
        <f>SmtRes!AA252</f>
        <v>7064.28</v>
      </c>
      <c r="O182">
        <f>ROUND(ROUND(L182*Source!I318, 2)*SmtRes!DA252, 2)</f>
        <v>3441.74</v>
      </c>
      <c r="P182">
        <f>SmtRes!AG252</f>
        <v>0</v>
      </c>
      <c r="Q182">
        <f>SmtRes!DC252</f>
        <v>0</v>
      </c>
      <c r="R182">
        <f>ROUND(ROUND(Q182*Source!I318, 2)*1, 2)</f>
        <v>0</v>
      </c>
      <c r="S182">
        <f>SmtRes!AC252</f>
        <v>0</v>
      </c>
      <c r="T182">
        <f>ROUND(ROUND(Q182*Source!I318, 2)*SmtRes!AK252, 2)</f>
        <v>0</v>
      </c>
      <c r="U182">
        <v>3</v>
      </c>
      <c r="Z182">
        <f>SmtRes!X252</f>
        <v>-1056028514</v>
      </c>
      <c r="AA182">
        <v>1831398067</v>
      </c>
      <c r="AB182">
        <v>735632363</v>
      </c>
    </row>
    <row r="183" spans="1:28" x14ac:dyDescent="0.2">
      <c r="A183">
        <v>20</v>
      </c>
      <c r="B183">
        <v>251</v>
      </c>
      <c r="C183">
        <v>3</v>
      </c>
      <c r="D183">
        <v>0</v>
      </c>
      <c r="E183">
        <f>SmtRes!AV251</f>
        <v>0</v>
      </c>
      <c r="F183" t="str">
        <f>SmtRes!I251</f>
        <v>204-0100</v>
      </c>
      <c r="G183" t="str">
        <f>SmtRes!K251</f>
        <v>Горячекатаная арматурная сталь класса А-I, А-II, А-III</v>
      </c>
      <c r="H183" t="str">
        <f>SmtRes!O251</f>
        <v>т</v>
      </c>
      <c r="I183">
        <f>SmtRes!Y251*Source!I318</f>
        <v>2.1599999999999998E-2</v>
      </c>
      <c r="J183">
        <f>SmtRes!AO251</f>
        <v>1</v>
      </c>
      <c r="K183">
        <f>SmtRes!AE251</f>
        <v>5734.75</v>
      </c>
      <c r="L183">
        <f>SmtRes!DB251</f>
        <v>25806.38</v>
      </c>
      <c r="M183">
        <f>ROUND(ROUND(L183*Source!I318, 2)*1, 2)</f>
        <v>123.87</v>
      </c>
      <c r="N183">
        <f>SmtRes!AA251</f>
        <v>68931.7</v>
      </c>
      <c r="O183">
        <f>ROUND(ROUND(L183*Source!I318, 2)*SmtRes!DA251, 2)</f>
        <v>1488.92</v>
      </c>
      <c r="P183">
        <f>SmtRes!AG251</f>
        <v>0</v>
      </c>
      <c r="Q183">
        <f>SmtRes!DC251</f>
        <v>0</v>
      </c>
      <c r="R183">
        <f>ROUND(ROUND(Q183*Source!I318, 2)*1, 2)</f>
        <v>0</v>
      </c>
      <c r="S183">
        <f>SmtRes!AC251</f>
        <v>0</v>
      </c>
      <c r="T183">
        <f>ROUND(ROUND(Q183*Source!I318, 2)*SmtRes!AK251, 2)</f>
        <v>0</v>
      </c>
      <c r="U183">
        <v>3</v>
      </c>
      <c r="Z183">
        <f>SmtRes!X251</f>
        <v>-1148993080</v>
      </c>
      <c r="AA183">
        <v>-212182363</v>
      </c>
      <c r="AB183">
        <v>1126326699</v>
      </c>
    </row>
    <row r="184" spans="1:28" x14ac:dyDescent="0.2">
      <c r="A184">
        <v>20</v>
      </c>
      <c r="B184">
        <v>250</v>
      </c>
      <c r="C184">
        <v>3</v>
      </c>
      <c r="D184">
        <v>0</v>
      </c>
      <c r="E184">
        <f>SmtRes!AV250</f>
        <v>0</v>
      </c>
      <c r="F184" t="str">
        <f>SmtRes!I250</f>
        <v>203-0511</v>
      </c>
      <c r="G184" t="str">
        <f>SmtRes!K250</f>
        <v>Щиты из досок толщиной 25 мм</v>
      </c>
      <c r="H184" t="str">
        <f>SmtRes!O250</f>
        <v>м2</v>
      </c>
      <c r="I184">
        <f>SmtRes!Y250*Source!I318</f>
        <v>0.30767999999999995</v>
      </c>
      <c r="J184">
        <f>SmtRes!AO250</f>
        <v>1</v>
      </c>
      <c r="K184">
        <f>SmtRes!AE250</f>
        <v>35.53</v>
      </c>
      <c r="L184">
        <f>SmtRes!DB250</f>
        <v>2277.4699999999998</v>
      </c>
      <c r="M184">
        <f>ROUND(ROUND(L184*Source!I318, 2)*1, 2)</f>
        <v>10.93</v>
      </c>
      <c r="N184">
        <f>SmtRes!AA250</f>
        <v>661.21</v>
      </c>
      <c r="O184">
        <f>ROUND(ROUND(L184*Source!I318, 2)*SmtRes!DA250, 2)</f>
        <v>203.41</v>
      </c>
      <c r="P184">
        <f>SmtRes!AG250</f>
        <v>0</v>
      </c>
      <c r="Q184">
        <f>SmtRes!DC250</f>
        <v>0</v>
      </c>
      <c r="R184">
        <f>ROUND(ROUND(Q184*Source!I318, 2)*1, 2)</f>
        <v>0</v>
      </c>
      <c r="S184">
        <f>SmtRes!AC250</f>
        <v>0</v>
      </c>
      <c r="T184">
        <f>ROUND(ROUND(Q184*Source!I318, 2)*SmtRes!AK250, 2)</f>
        <v>0</v>
      </c>
      <c r="U184">
        <v>3</v>
      </c>
      <c r="Z184">
        <f>SmtRes!X250</f>
        <v>-838992557</v>
      </c>
      <c r="AA184">
        <v>1077065131</v>
      </c>
      <c r="AB184">
        <v>1686487120</v>
      </c>
    </row>
    <row r="185" spans="1:28" x14ac:dyDescent="0.2">
      <c r="A185">
        <v>20</v>
      </c>
      <c r="B185">
        <v>249</v>
      </c>
      <c r="C185">
        <v>3</v>
      </c>
      <c r="D185">
        <v>0</v>
      </c>
      <c r="E185">
        <f>SmtRes!AV249</f>
        <v>0</v>
      </c>
      <c r="F185" t="str">
        <f>SmtRes!I249</f>
        <v>102-0061</v>
      </c>
      <c r="G185" t="str">
        <f>SmtRes!K249</f>
        <v>Доски обрезные хвойных пород длиной 4-6,5 м, шириной 75-150 мм, толщиной 44 мм и более, III сорта</v>
      </c>
      <c r="H185" t="str">
        <f>SmtRes!O249</f>
        <v>м3</v>
      </c>
      <c r="I185">
        <f>SmtRes!Y249*Source!I318</f>
        <v>3.5519999999999996E-3</v>
      </c>
      <c r="J185">
        <f>SmtRes!AO249</f>
        <v>1</v>
      </c>
      <c r="K185">
        <f>SmtRes!AE249</f>
        <v>883.19</v>
      </c>
      <c r="L185">
        <f>SmtRes!DB249</f>
        <v>653.55999999999995</v>
      </c>
      <c r="M185">
        <f>ROUND(ROUND(L185*Source!I318, 2)*1, 2)</f>
        <v>3.14</v>
      </c>
      <c r="N185">
        <f>SmtRes!AA249</f>
        <v>18564.650000000001</v>
      </c>
      <c r="O185">
        <f>ROUND(ROUND(L185*Source!I318, 2)*SmtRes!DA249, 2)</f>
        <v>66</v>
      </c>
      <c r="P185">
        <f>SmtRes!AG249</f>
        <v>0</v>
      </c>
      <c r="Q185">
        <f>SmtRes!DC249</f>
        <v>0</v>
      </c>
      <c r="R185">
        <f>ROUND(ROUND(Q185*Source!I318, 2)*1, 2)</f>
        <v>0</v>
      </c>
      <c r="S185">
        <f>SmtRes!AC249</f>
        <v>0</v>
      </c>
      <c r="T185">
        <f>ROUND(ROUND(Q185*Source!I318, 2)*SmtRes!AK249, 2)</f>
        <v>0</v>
      </c>
      <c r="U185">
        <v>3</v>
      </c>
      <c r="Z185">
        <f>SmtRes!X249</f>
        <v>-306920569</v>
      </c>
      <c r="AA185">
        <v>-410269236</v>
      </c>
      <c r="AB185">
        <v>-1462371673</v>
      </c>
    </row>
    <row r="186" spans="1:28" x14ac:dyDescent="0.2">
      <c r="A186">
        <v>20</v>
      </c>
      <c r="B186">
        <v>248</v>
      </c>
      <c r="C186">
        <v>3</v>
      </c>
      <c r="D186">
        <v>0</v>
      </c>
      <c r="E186">
        <f>SmtRes!AV248</f>
        <v>0</v>
      </c>
      <c r="F186" t="str">
        <f>SmtRes!I248</f>
        <v>101-1805</v>
      </c>
      <c r="G186" t="str">
        <f>SmtRes!K248</f>
        <v>Гвозди строительные</v>
      </c>
      <c r="H186" t="str">
        <f>SmtRes!O248</f>
        <v>т</v>
      </c>
      <c r="I186">
        <f>SmtRes!Y248*Source!I318</f>
        <v>1.1424E-4</v>
      </c>
      <c r="J186">
        <f>SmtRes!AO248</f>
        <v>1</v>
      </c>
      <c r="K186">
        <f>SmtRes!AE248</f>
        <v>12936</v>
      </c>
      <c r="L186">
        <f>SmtRes!DB248</f>
        <v>307.88</v>
      </c>
      <c r="M186">
        <f>ROUND(ROUND(L186*Source!I318, 2)*1, 2)</f>
        <v>1.48</v>
      </c>
      <c r="N186">
        <f>SmtRes!AA248</f>
        <v>111120.24</v>
      </c>
      <c r="O186">
        <f>ROUND(ROUND(L186*Source!I318, 2)*SmtRes!DA248, 2)</f>
        <v>12.71</v>
      </c>
      <c r="P186">
        <f>SmtRes!AG248</f>
        <v>0</v>
      </c>
      <c r="Q186">
        <f>SmtRes!DC248</f>
        <v>0</v>
      </c>
      <c r="R186">
        <f>ROUND(ROUND(Q186*Source!I318, 2)*1, 2)</f>
        <v>0</v>
      </c>
      <c r="S186">
        <f>SmtRes!AC248</f>
        <v>0</v>
      </c>
      <c r="T186">
        <f>ROUND(ROUND(Q186*Source!I318, 2)*SmtRes!AK248, 2)</f>
        <v>0</v>
      </c>
      <c r="U186">
        <v>3</v>
      </c>
      <c r="Z186">
        <f>SmtRes!X248</f>
        <v>-667930777</v>
      </c>
      <c r="AA186">
        <v>73813288</v>
      </c>
      <c r="AB186">
        <v>1198263553</v>
      </c>
    </row>
    <row r="187" spans="1:28" x14ac:dyDescent="0.2">
      <c r="A187">
        <v>20</v>
      </c>
      <c r="B187">
        <v>247</v>
      </c>
      <c r="C187">
        <v>3</v>
      </c>
      <c r="D187">
        <v>0</v>
      </c>
      <c r="E187">
        <f>SmtRes!AV247</f>
        <v>0</v>
      </c>
      <c r="F187" t="str">
        <f>SmtRes!I247</f>
        <v>101-1668</v>
      </c>
      <c r="G187" t="str">
        <f>SmtRes!K247</f>
        <v>Рогожа</v>
      </c>
      <c r="H187" t="str">
        <f>SmtRes!O247</f>
        <v>м2</v>
      </c>
      <c r="I187">
        <f>SmtRes!Y247*Source!I318</f>
        <v>0.73439999999999994</v>
      </c>
      <c r="J187">
        <f>SmtRes!AO247</f>
        <v>1</v>
      </c>
      <c r="K187">
        <f>SmtRes!AE247</f>
        <v>10.199999999999999</v>
      </c>
      <c r="L187">
        <f>SmtRes!DB247</f>
        <v>1560.6</v>
      </c>
      <c r="M187">
        <f>ROUND(ROUND(L187*Source!I318, 2)*1, 2)</f>
        <v>7.49</v>
      </c>
      <c r="N187">
        <f>SmtRes!AA247</f>
        <v>52.22</v>
      </c>
      <c r="O187">
        <f>ROUND(ROUND(L187*Source!I318, 2)*SmtRes!DA247, 2)</f>
        <v>38.35</v>
      </c>
      <c r="P187">
        <f>SmtRes!AG247</f>
        <v>0</v>
      </c>
      <c r="Q187">
        <f>SmtRes!DC247</f>
        <v>0</v>
      </c>
      <c r="R187">
        <f>ROUND(ROUND(Q187*Source!I318, 2)*1, 2)</f>
        <v>0</v>
      </c>
      <c r="S187">
        <f>SmtRes!AC247</f>
        <v>0</v>
      </c>
      <c r="T187">
        <f>ROUND(ROUND(Q187*Source!I318, 2)*SmtRes!AK247, 2)</f>
        <v>0</v>
      </c>
      <c r="U187">
        <v>3</v>
      </c>
      <c r="Z187">
        <f>SmtRes!X247</f>
        <v>-602309479</v>
      </c>
      <c r="AA187">
        <v>-1610479409</v>
      </c>
      <c r="AB187">
        <v>-1601764222</v>
      </c>
    </row>
    <row r="188" spans="1:28" x14ac:dyDescent="0.2">
      <c r="A188">
        <v>20</v>
      </c>
      <c r="B188">
        <v>246</v>
      </c>
      <c r="C188">
        <v>3</v>
      </c>
      <c r="D188">
        <v>0</v>
      </c>
      <c r="E188">
        <f>SmtRes!AV246</f>
        <v>0</v>
      </c>
      <c r="F188" t="str">
        <f>SmtRes!I246</f>
        <v>101-0816</v>
      </c>
      <c r="G188" t="str">
        <f>SmtRes!K246</f>
        <v>Проволока светлая диаметром 1,1 мм</v>
      </c>
      <c r="H188" t="str">
        <f>SmtRes!O246</f>
        <v>т</v>
      </c>
      <c r="I188">
        <f>SmtRes!Y246*Source!I318</f>
        <v>2.9280000000000001E-5</v>
      </c>
      <c r="J188">
        <f>SmtRes!AO246</f>
        <v>1</v>
      </c>
      <c r="K188">
        <f>SmtRes!AE246</f>
        <v>10200</v>
      </c>
      <c r="L188">
        <f>SmtRes!DB246</f>
        <v>62.22</v>
      </c>
      <c r="M188">
        <f>ROUND(ROUND(L188*Source!I318, 2)*1, 2)</f>
        <v>0.3</v>
      </c>
      <c r="N188">
        <f>SmtRes!AA246</f>
        <v>76806</v>
      </c>
      <c r="O188">
        <f>ROUND(ROUND(L188*Source!I318, 2)*SmtRes!DA246, 2)</f>
        <v>2.2599999999999998</v>
      </c>
      <c r="P188">
        <f>SmtRes!AG246</f>
        <v>0</v>
      </c>
      <c r="Q188">
        <f>SmtRes!DC246</f>
        <v>0</v>
      </c>
      <c r="R188">
        <f>ROUND(ROUND(Q188*Source!I318, 2)*1, 2)</f>
        <v>0</v>
      </c>
      <c r="S188">
        <f>SmtRes!AC246</f>
        <v>0</v>
      </c>
      <c r="T188">
        <f>ROUND(ROUND(Q188*Source!I318, 2)*SmtRes!AK246, 2)</f>
        <v>0</v>
      </c>
      <c r="U188">
        <v>3</v>
      </c>
      <c r="Z188">
        <f>SmtRes!X246</f>
        <v>-936228581</v>
      </c>
      <c r="AA188">
        <v>1360678097</v>
      </c>
      <c r="AB188">
        <v>-1962895299</v>
      </c>
    </row>
    <row r="189" spans="1:28" x14ac:dyDescent="0.2">
      <c r="A189">
        <v>20</v>
      </c>
      <c r="B189">
        <v>245</v>
      </c>
      <c r="C189">
        <v>3</v>
      </c>
      <c r="D189">
        <v>0</v>
      </c>
      <c r="E189">
        <f>SmtRes!AV245</f>
        <v>0</v>
      </c>
      <c r="F189" t="str">
        <f>SmtRes!I245</f>
        <v>101-0797</v>
      </c>
      <c r="G189" t="str">
        <f>SmtRes!K245</f>
        <v>Проволока горячекатаная в мотках, диаметром 6,3-6,5 мм</v>
      </c>
      <c r="H189" t="str">
        <f>SmtRes!O245</f>
        <v>т</v>
      </c>
      <c r="I189">
        <f>SmtRes!Y245*Source!I318</f>
        <v>1.7999999999999998E-4</v>
      </c>
      <c r="J189">
        <f>SmtRes!AO245</f>
        <v>1</v>
      </c>
      <c r="K189">
        <f>SmtRes!AE245</f>
        <v>4455</v>
      </c>
      <c r="L189">
        <f>SmtRes!DB245</f>
        <v>167.06</v>
      </c>
      <c r="M189">
        <f>ROUND(ROUND(L189*Source!I318, 2)*1, 2)</f>
        <v>0.8</v>
      </c>
      <c r="N189">
        <f>SmtRes!AA245</f>
        <v>31452.3</v>
      </c>
      <c r="O189">
        <f>ROUND(ROUND(L189*Source!I318, 2)*SmtRes!DA245, 2)</f>
        <v>5.65</v>
      </c>
      <c r="P189">
        <f>SmtRes!AG245</f>
        <v>0</v>
      </c>
      <c r="Q189">
        <f>SmtRes!DC245</f>
        <v>0</v>
      </c>
      <c r="R189">
        <f>ROUND(ROUND(Q189*Source!I318, 2)*1, 2)</f>
        <v>0</v>
      </c>
      <c r="S189">
        <f>SmtRes!AC245</f>
        <v>0</v>
      </c>
      <c r="T189">
        <f>ROUND(ROUND(Q189*Source!I318, 2)*SmtRes!AK245, 2)</f>
        <v>0</v>
      </c>
      <c r="U189">
        <v>3</v>
      </c>
      <c r="Z189">
        <f>SmtRes!X245</f>
        <v>1941264678</v>
      </c>
      <c r="AA189">
        <v>376479924</v>
      </c>
      <c r="AB189">
        <v>-456759606</v>
      </c>
    </row>
    <row r="190" spans="1:28" x14ac:dyDescent="0.2">
      <c r="A190">
        <v>20</v>
      </c>
      <c r="B190">
        <v>244</v>
      </c>
      <c r="C190">
        <v>2</v>
      </c>
      <c r="D190">
        <v>0</v>
      </c>
      <c r="E190">
        <f>SmtRes!AV244</f>
        <v>0</v>
      </c>
      <c r="F190" t="str">
        <f>SmtRes!I244</f>
        <v>400001</v>
      </c>
      <c r="G190" t="str">
        <f>SmtRes!K244</f>
        <v>Автомобили бортовые, грузоподъемность до 5 т</v>
      </c>
      <c r="H190" t="str">
        <f>SmtRes!O244</f>
        <v>маш.-ч</v>
      </c>
      <c r="I190">
        <f>SmtRes!Y244*Source!I318</f>
        <v>4.7519999999999993E-3</v>
      </c>
      <c r="J190">
        <f>SmtRes!AO244</f>
        <v>1</v>
      </c>
      <c r="K190">
        <f>SmtRes!AF244</f>
        <v>91.76</v>
      </c>
      <c r="L190">
        <f>SmtRes!DB244</f>
        <v>90.84</v>
      </c>
      <c r="M190">
        <f>ROUND(ROUND(L190*Source!I318, 2)*1, 2)</f>
        <v>0.44</v>
      </c>
      <c r="N190">
        <f>SmtRes!AB244</f>
        <v>1305.74</v>
      </c>
      <c r="O190">
        <f>ROUND(ROUND(L190*Source!I318, 2)*SmtRes!DA244, 2)</f>
        <v>6.26</v>
      </c>
      <c r="P190">
        <f>SmtRes!AG244</f>
        <v>10.35</v>
      </c>
      <c r="Q190">
        <f>SmtRes!DC244</f>
        <v>10.25</v>
      </c>
      <c r="R190">
        <f>ROUND(ROUND(Q190*Source!I318, 2)*1, 2)</f>
        <v>0.05</v>
      </c>
      <c r="S190">
        <f>SmtRes!AC244</f>
        <v>365.04</v>
      </c>
      <c r="T190">
        <f>ROUND(ROUND(Q190*Source!I318, 2)*SmtRes!AK244, 2)</f>
        <v>1.76</v>
      </c>
      <c r="U190">
        <v>2</v>
      </c>
      <c r="Z190">
        <f>SmtRes!X244</f>
        <v>-671646184</v>
      </c>
      <c r="AA190">
        <v>807713937</v>
      </c>
      <c r="AB190">
        <v>1619992053</v>
      </c>
    </row>
    <row r="191" spans="1:28" x14ac:dyDescent="0.2">
      <c r="A191">
        <v>20</v>
      </c>
      <c r="B191">
        <v>243</v>
      </c>
      <c r="C191">
        <v>2</v>
      </c>
      <c r="D191">
        <v>0</v>
      </c>
      <c r="E191">
        <f>SmtRes!AV243</f>
        <v>0</v>
      </c>
      <c r="F191" t="str">
        <f>SmtRes!I243</f>
        <v>331532</v>
      </c>
      <c r="G191" t="str">
        <f>SmtRes!K243</f>
        <v>Пила цепная электрическая</v>
      </c>
      <c r="H191" t="str">
        <f>SmtRes!O243</f>
        <v>маш.-ч</v>
      </c>
      <c r="I191">
        <f>SmtRes!Y243*Source!I318</f>
        <v>4.176E-3</v>
      </c>
      <c r="J191">
        <f>SmtRes!AO243</f>
        <v>1</v>
      </c>
      <c r="K191">
        <f>SmtRes!AF243</f>
        <v>3.28</v>
      </c>
      <c r="L191">
        <f>SmtRes!DB243</f>
        <v>2.85</v>
      </c>
      <c r="M191">
        <f>ROUND(ROUND(L191*Source!I318, 2)*1, 2)</f>
        <v>0.01</v>
      </c>
      <c r="N191">
        <f>SmtRes!AB243</f>
        <v>24.5</v>
      </c>
      <c r="O191">
        <f>ROUND(ROUND(L191*Source!I318, 2)*SmtRes!DA243, 2)</f>
        <v>7.0000000000000007E-2</v>
      </c>
      <c r="P191">
        <f>SmtRes!AG243</f>
        <v>0</v>
      </c>
      <c r="Q191">
        <f>SmtRes!DC243</f>
        <v>0</v>
      </c>
      <c r="R191">
        <f>ROUND(ROUND(Q191*Source!I318, 2)*1, 2)</f>
        <v>0</v>
      </c>
      <c r="S191">
        <f>SmtRes!AC243</f>
        <v>0</v>
      </c>
      <c r="T191">
        <f>ROUND(ROUND(Q191*Source!I318, 2)*SmtRes!AK243, 2)</f>
        <v>0</v>
      </c>
      <c r="U191">
        <v>2</v>
      </c>
      <c r="Z191">
        <f>SmtRes!X243</f>
        <v>1473447811</v>
      </c>
      <c r="AA191">
        <v>-1964155393</v>
      </c>
      <c r="AB191">
        <v>1910726500</v>
      </c>
    </row>
    <row r="192" spans="1:28" x14ac:dyDescent="0.2">
      <c r="A192">
        <v>20</v>
      </c>
      <c r="B192">
        <v>242</v>
      </c>
      <c r="C192">
        <v>2</v>
      </c>
      <c r="D192">
        <v>0</v>
      </c>
      <c r="E192">
        <f>SmtRes!AV242</f>
        <v>0</v>
      </c>
      <c r="F192" t="str">
        <f>SmtRes!I242</f>
        <v>111100</v>
      </c>
      <c r="G192" t="str">
        <f>SmtRes!K242</f>
        <v>Вибратор глубинный</v>
      </c>
      <c r="H192" t="str">
        <f>SmtRes!O242</f>
        <v>маш.-ч</v>
      </c>
      <c r="I192">
        <f>SmtRes!Y242*Source!I318</f>
        <v>0.18105599999999997</v>
      </c>
      <c r="J192">
        <f>SmtRes!AO242</f>
        <v>1</v>
      </c>
      <c r="K192">
        <f>SmtRes!AF242</f>
        <v>2.67</v>
      </c>
      <c r="L192">
        <f>SmtRes!DB242</f>
        <v>100.71</v>
      </c>
      <c r="M192">
        <f>ROUND(ROUND(L192*Source!I318, 2)*1, 2)</f>
        <v>0.48</v>
      </c>
      <c r="N192">
        <f>SmtRes!AB242</f>
        <v>14.9</v>
      </c>
      <c r="O192">
        <f>ROUND(ROUND(L192*Source!I318, 2)*SmtRes!DA242, 2)</f>
        <v>2.68</v>
      </c>
      <c r="P192">
        <f>SmtRes!AG242</f>
        <v>0</v>
      </c>
      <c r="Q192">
        <f>SmtRes!DC242</f>
        <v>0</v>
      </c>
      <c r="R192">
        <f>ROUND(ROUND(Q192*Source!I318, 2)*1, 2)</f>
        <v>0</v>
      </c>
      <c r="S192">
        <f>SmtRes!AC242</f>
        <v>0</v>
      </c>
      <c r="T192">
        <f>ROUND(ROUND(Q192*Source!I318, 2)*SmtRes!AK242, 2)</f>
        <v>0</v>
      </c>
      <c r="U192">
        <v>2</v>
      </c>
      <c r="Z192">
        <f>SmtRes!X242</f>
        <v>-1634320916</v>
      </c>
      <c r="AA192">
        <v>-968569833</v>
      </c>
      <c r="AB192">
        <v>995884265</v>
      </c>
    </row>
    <row r="193" spans="1:28" x14ac:dyDescent="0.2">
      <c r="A193">
        <v>20</v>
      </c>
      <c r="B193">
        <v>241</v>
      </c>
      <c r="C193">
        <v>2</v>
      </c>
      <c r="D193">
        <v>0</v>
      </c>
      <c r="E193">
        <f>SmtRes!AV241</f>
        <v>0</v>
      </c>
      <c r="F193" t="str">
        <f>SmtRes!I241</f>
        <v>030101</v>
      </c>
      <c r="G193" t="str">
        <f>SmtRes!K241</f>
        <v>Автопогрузчики 5 т</v>
      </c>
      <c r="H193" t="str">
        <f>SmtRes!O241</f>
        <v>маш.-ч</v>
      </c>
      <c r="I193">
        <f>SmtRes!Y241*Source!I318</f>
        <v>1.2960000000000001E-3</v>
      </c>
      <c r="J193">
        <f>SmtRes!AO241</f>
        <v>1</v>
      </c>
      <c r="K193">
        <f>SmtRes!AF241</f>
        <v>87.24</v>
      </c>
      <c r="L193">
        <f>SmtRes!DB241</f>
        <v>23.55</v>
      </c>
      <c r="M193">
        <f>ROUND(ROUND(L193*Source!I318, 2)*1, 2)</f>
        <v>0.11</v>
      </c>
      <c r="N193">
        <f>SmtRes!AB241</f>
        <v>2230.73</v>
      </c>
      <c r="O193">
        <f>ROUND(ROUND(L193*Source!I318, 2)*SmtRes!DA241, 2)</f>
        <v>2.81</v>
      </c>
      <c r="P193">
        <f>SmtRes!AG241</f>
        <v>9</v>
      </c>
      <c r="Q193">
        <f>SmtRes!DC241</f>
        <v>2.4300000000000002</v>
      </c>
      <c r="R193">
        <f>ROUND(ROUND(Q193*Source!I318, 2)*1, 2)</f>
        <v>0.01</v>
      </c>
      <c r="S193">
        <f>SmtRes!AC241</f>
        <v>317.43</v>
      </c>
      <c r="T193">
        <f>ROUND(ROUND(Q193*Source!I318, 2)*SmtRes!AK241, 2)</f>
        <v>0.35</v>
      </c>
      <c r="U193">
        <v>2</v>
      </c>
      <c r="Z193">
        <f>SmtRes!X241</f>
        <v>-674318163</v>
      </c>
      <c r="AA193">
        <v>-1657392001</v>
      </c>
      <c r="AB193">
        <v>-771525458</v>
      </c>
    </row>
    <row r="194" spans="1:28" x14ac:dyDescent="0.2">
      <c r="A194">
        <v>20</v>
      </c>
      <c r="B194">
        <v>240</v>
      </c>
      <c r="C194">
        <v>2</v>
      </c>
      <c r="D194">
        <v>0</v>
      </c>
      <c r="E194">
        <f>SmtRes!AV240</f>
        <v>0</v>
      </c>
      <c r="F194" t="str">
        <f>SmtRes!I240</f>
        <v>021141</v>
      </c>
      <c r="G194" t="str">
        <f>SmtRes!K240</f>
        <v>Краны на автомобильном ходу при работе на других видах строительства 10 т</v>
      </c>
      <c r="H194" t="str">
        <f>SmtRes!O240</f>
        <v>маш.-ч</v>
      </c>
      <c r="I194">
        <f>SmtRes!Y240*Source!I318</f>
        <v>3.264E-3</v>
      </c>
      <c r="J194">
        <f>SmtRes!AO240</f>
        <v>1</v>
      </c>
      <c r="K194">
        <f>SmtRes!AF240</f>
        <v>124.14</v>
      </c>
      <c r="L194">
        <f>SmtRes!DB240</f>
        <v>84.42</v>
      </c>
      <c r="M194">
        <f>ROUND(ROUND(L194*Source!I318, 2)*1, 2)</f>
        <v>0.41</v>
      </c>
      <c r="N194">
        <f>SmtRes!AB240</f>
        <v>1453.68</v>
      </c>
      <c r="O194">
        <f>ROUND(ROUND(L194*Source!I318, 2)*SmtRes!DA240, 2)</f>
        <v>4.8</v>
      </c>
      <c r="P194">
        <f>SmtRes!AG240</f>
        <v>12.1</v>
      </c>
      <c r="Q194">
        <f>SmtRes!DC240</f>
        <v>8.23</v>
      </c>
      <c r="R194">
        <f>ROUND(ROUND(Q194*Source!I318, 2)*1, 2)</f>
        <v>0.04</v>
      </c>
      <c r="S194">
        <f>SmtRes!AC240</f>
        <v>426.77</v>
      </c>
      <c r="T194">
        <f>ROUND(ROUND(Q194*Source!I318, 2)*SmtRes!AK240, 2)</f>
        <v>1.41</v>
      </c>
      <c r="U194">
        <v>2</v>
      </c>
      <c r="Z194">
        <f>SmtRes!X240</f>
        <v>1447433125</v>
      </c>
      <c r="AA194">
        <v>1854632627</v>
      </c>
      <c r="AB194">
        <v>887395808</v>
      </c>
    </row>
    <row r="195" spans="1:28" x14ac:dyDescent="0.2">
      <c r="A195">
        <v>20</v>
      </c>
      <c r="B195">
        <v>239</v>
      </c>
      <c r="C195">
        <v>2</v>
      </c>
      <c r="D195">
        <v>0</v>
      </c>
      <c r="E195">
        <f>SmtRes!AV239</f>
        <v>0</v>
      </c>
      <c r="F195" t="str">
        <f>SmtRes!I239</f>
        <v>020129</v>
      </c>
      <c r="G195" t="str">
        <f>SmtRes!K239</f>
        <v>Краны башенные при работе на других видах строительства 8 т</v>
      </c>
      <c r="H195" t="str">
        <f>SmtRes!O239</f>
        <v>маш.-ч</v>
      </c>
      <c r="I195">
        <f>SmtRes!Y239*Source!I318</f>
        <v>0.14568</v>
      </c>
      <c r="J195">
        <f>SmtRes!AO239</f>
        <v>1</v>
      </c>
      <c r="K195">
        <f>SmtRes!AF239</f>
        <v>103.49</v>
      </c>
      <c r="L195">
        <f>SmtRes!DB239</f>
        <v>3140.92</v>
      </c>
      <c r="M195">
        <f>ROUND(ROUND(L195*Source!I318, 2)*1, 2)</f>
        <v>15.08</v>
      </c>
      <c r="N195">
        <f>SmtRes!AB239</f>
        <v>1247.05</v>
      </c>
      <c r="O195">
        <f>ROUND(ROUND(L195*Source!I318, 2)*SmtRes!DA239, 2)</f>
        <v>181.71</v>
      </c>
      <c r="P195">
        <f>SmtRes!AG239</f>
        <v>12.1</v>
      </c>
      <c r="Q195">
        <f>SmtRes!DC239</f>
        <v>367.24</v>
      </c>
      <c r="R195">
        <f>ROUND(ROUND(Q195*Source!I318, 2)*1, 2)</f>
        <v>1.76</v>
      </c>
      <c r="S195">
        <f>SmtRes!AC239</f>
        <v>426.77</v>
      </c>
      <c r="T195">
        <f>ROUND(ROUND(Q195*Source!I318, 2)*SmtRes!AK239, 2)</f>
        <v>62.08</v>
      </c>
      <c r="U195">
        <v>2</v>
      </c>
      <c r="Z195">
        <f>SmtRes!X239</f>
        <v>1604115853</v>
      </c>
      <c r="AA195">
        <v>36607545</v>
      </c>
      <c r="AB195">
        <v>925327548</v>
      </c>
    </row>
    <row r="196" spans="1:28" x14ac:dyDescent="0.2">
      <c r="A196">
        <v>20</v>
      </c>
      <c r="B196">
        <v>237</v>
      </c>
      <c r="C196">
        <v>1</v>
      </c>
      <c r="D196">
        <v>0</v>
      </c>
      <c r="E196">
        <f>SmtRes!AV237</f>
        <v>1</v>
      </c>
      <c r="F196" t="str">
        <f>SmtRes!I237</f>
        <v>1-1030-21</v>
      </c>
      <c r="G196" t="str">
        <f>SmtRes!K237</f>
        <v>Рабочий строитель среднего разряда 3</v>
      </c>
      <c r="H196" t="str">
        <f>SmtRes!O237</f>
        <v>чел.-ч</v>
      </c>
      <c r="I196">
        <f>SmtRes!Y237*Source!I318</f>
        <v>3.7722239999999996</v>
      </c>
      <c r="J196">
        <f>SmtRes!AO237</f>
        <v>1</v>
      </c>
      <c r="K196">
        <f>SmtRes!AH237</f>
        <v>7.97</v>
      </c>
      <c r="L196">
        <f>SmtRes!DB237</f>
        <v>6263.46</v>
      </c>
      <c r="M196">
        <f>ROUND(ROUND(L196*Source!I318, 2)*1, 2)</f>
        <v>30.06</v>
      </c>
      <c r="N196">
        <f>SmtRes!AD237</f>
        <v>7.97</v>
      </c>
      <c r="O196">
        <f>ROUND(ROUND(L196*Source!I318, 2)*SmtRes!DA237, 2)</f>
        <v>30.06</v>
      </c>
      <c r="P196">
        <f>SmtRes!AG237</f>
        <v>0</v>
      </c>
      <c r="Q196">
        <f>SmtRes!DC237</f>
        <v>0</v>
      </c>
      <c r="R196">
        <f>ROUND(ROUND(Q196*Source!I318, 2)*1, 2)</f>
        <v>0</v>
      </c>
      <c r="S196">
        <f>SmtRes!AC237</f>
        <v>0</v>
      </c>
      <c r="T196">
        <f>ROUND(ROUND(Q196*Source!I318, 2)*SmtRes!AK237, 2)</f>
        <v>0</v>
      </c>
      <c r="U196">
        <v>1</v>
      </c>
      <c r="Z196">
        <f>SmtRes!X237</f>
        <v>756115135</v>
      </c>
      <c r="AA196">
        <v>-103154406</v>
      </c>
      <c r="AB196">
        <v>1494462434</v>
      </c>
    </row>
    <row r="197" spans="1:28" x14ac:dyDescent="0.2">
      <c r="A197">
        <v>20</v>
      </c>
      <c r="B197">
        <v>267</v>
      </c>
      <c r="C197">
        <v>3</v>
      </c>
      <c r="D197">
        <v>0</v>
      </c>
      <c r="E197">
        <f>SmtRes!AV267</f>
        <v>0</v>
      </c>
      <c r="F197" t="str">
        <f>SmtRes!I267</f>
        <v>411-0001</v>
      </c>
      <c r="G197" t="str">
        <f>SmtRes!K267</f>
        <v>Вода</v>
      </c>
      <c r="H197" t="str">
        <f>SmtRes!O267</f>
        <v>м3</v>
      </c>
      <c r="I197">
        <f>SmtRes!Y267*Source!I320</f>
        <v>7.8399999999999997E-2</v>
      </c>
      <c r="J197">
        <f>SmtRes!AO267</f>
        <v>1</v>
      </c>
      <c r="K197">
        <f>SmtRes!AE267</f>
        <v>2.4700000000000002</v>
      </c>
      <c r="L197">
        <f>SmtRes!DB267</f>
        <v>4.9400000000000004</v>
      </c>
      <c r="M197">
        <f>ROUND(ROUND(L197*Source!I320, 2)*1, 2)</f>
        <v>0.19</v>
      </c>
      <c r="N197">
        <f>SmtRes!AA267</f>
        <v>19.59</v>
      </c>
      <c r="O197">
        <f>ROUND(ROUND(L197*Source!I320, 2)*SmtRes!DA267, 2)</f>
        <v>1.51</v>
      </c>
      <c r="P197">
        <f>SmtRes!AG267</f>
        <v>0</v>
      </c>
      <c r="Q197">
        <f>SmtRes!DC267</f>
        <v>0</v>
      </c>
      <c r="R197">
        <f>ROUND(ROUND(Q197*Source!I320, 2)*1, 2)</f>
        <v>0</v>
      </c>
      <c r="S197">
        <f>SmtRes!AC267</f>
        <v>0</v>
      </c>
      <c r="T197">
        <f>ROUND(ROUND(Q197*Source!I320, 2)*SmtRes!AK267, 2)</f>
        <v>0</v>
      </c>
      <c r="U197">
        <v>3</v>
      </c>
      <c r="Z197">
        <f>SmtRes!X267</f>
        <v>-1418712732</v>
      </c>
      <c r="AA197">
        <v>-1607643924</v>
      </c>
      <c r="AB197">
        <v>868455164</v>
      </c>
    </row>
    <row r="198" spans="1:28" x14ac:dyDescent="0.2">
      <c r="A198">
        <v>20</v>
      </c>
      <c r="B198">
        <v>266</v>
      </c>
      <c r="C198">
        <v>3</v>
      </c>
      <c r="D198">
        <v>0</v>
      </c>
      <c r="E198">
        <f>SmtRes!AV266</f>
        <v>0</v>
      </c>
      <c r="F198" t="str">
        <f>SmtRes!I266</f>
        <v>101-2109</v>
      </c>
      <c r="G198" t="str">
        <f>SmtRes!K266</f>
        <v>Карборунд</v>
      </c>
      <c r="H198" t="str">
        <f>SmtRes!O266</f>
        <v>кг</v>
      </c>
      <c r="I198">
        <f>SmtRes!Y266*Source!I320</f>
        <v>7.8399999999999997E-2</v>
      </c>
      <c r="J198">
        <f>SmtRes!AO266</f>
        <v>1</v>
      </c>
      <c r="K198">
        <f>SmtRes!AE266</f>
        <v>5.71</v>
      </c>
      <c r="L198">
        <f>SmtRes!DB266</f>
        <v>11.42</v>
      </c>
      <c r="M198">
        <f>ROUND(ROUND(L198*Source!I320, 2)*1, 2)</f>
        <v>0.45</v>
      </c>
      <c r="N198">
        <f>SmtRes!AA266</f>
        <v>170.56</v>
      </c>
      <c r="O198">
        <f>ROUND(ROUND(L198*Source!I320, 2)*SmtRes!DA266, 2)</f>
        <v>13.44</v>
      </c>
      <c r="P198">
        <f>SmtRes!AG266</f>
        <v>0</v>
      </c>
      <c r="Q198">
        <f>SmtRes!DC266</f>
        <v>0</v>
      </c>
      <c r="R198">
        <f>ROUND(ROUND(Q198*Source!I320, 2)*1, 2)</f>
        <v>0</v>
      </c>
      <c r="S198">
        <f>SmtRes!AC266</f>
        <v>0</v>
      </c>
      <c r="T198">
        <f>ROUND(ROUND(Q198*Source!I320, 2)*SmtRes!AK266, 2)</f>
        <v>0</v>
      </c>
      <c r="U198">
        <v>3</v>
      </c>
      <c r="Z198">
        <f>SmtRes!X266</f>
        <v>2146776960</v>
      </c>
      <c r="AA198">
        <v>-967141816</v>
      </c>
      <c r="AB198">
        <v>896622900</v>
      </c>
    </row>
    <row r="199" spans="1:28" x14ac:dyDescent="0.2">
      <c r="A199">
        <v>20</v>
      </c>
      <c r="B199">
        <v>265</v>
      </c>
      <c r="C199">
        <v>2</v>
      </c>
      <c r="D199">
        <v>0</v>
      </c>
      <c r="E199">
        <f>SmtRes!AV265</f>
        <v>0</v>
      </c>
      <c r="F199" t="str">
        <f>SmtRes!I265</f>
        <v>340312</v>
      </c>
      <c r="G199" t="str">
        <f>SmtRes!K265</f>
        <v>Машины мозаично-шлифовальные</v>
      </c>
      <c r="H199" t="str">
        <f>SmtRes!O265</f>
        <v>маш.-ч</v>
      </c>
      <c r="I199">
        <f>SmtRes!Y265*Source!I320</f>
        <v>1.2544</v>
      </c>
      <c r="J199">
        <f>SmtRes!AO265</f>
        <v>1</v>
      </c>
      <c r="K199">
        <f>SmtRes!AF265</f>
        <v>1.66</v>
      </c>
      <c r="L199">
        <f>SmtRes!DB265</f>
        <v>53.12</v>
      </c>
      <c r="M199">
        <f>ROUND(ROUND(L199*Source!I320, 2)*1, 2)</f>
        <v>2.08</v>
      </c>
      <c r="N199">
        <f>SmtRes!AB265</f>
        <v>18.809999999999999</v>
      </c>
      <c r="O199">
        <f>ROUND(ROUND(L199*Source!I320, 2)*SmtRes!DA265, 2)</f>
        <v>23.57</v>
      </c>
      <c r="P199">
        <f>SmtRes!AG265</f>
        <v>0</v>
      </c>
      <c r="Q199">
        <f>SmtRes!DC265</f>
        <v>0</v>
      </c>
      <c r="R199">
        <f>ROUND(ROUND(Q199*Source!I320, 2)*1, 2)</f>
        <v>0</v>
      </c>
      <c r="S199">
        <f>SmtRes!AC265</f>
        <v>0</v>
      </c>
      <c r="T199">
        <f>ROUND(ROUND(Q199*Source!I320, 2)*SmtRes!AK265, 2)</f>
        <v>0</v>
      </c>
      <c r="U199">
        <v>2</v>
      </c>
      <c r="Z199">
        <f>SmtRes!X265</f>
        <v>-516421901</v>
      </c>
      <c r="AA199">
        <v>720875307</v>
      </c>
      <c r="AB199">
        <v>447132046</v>
      </c>
    </row>
    <row r="200" spans="1:28" x14ac:dyDescent="0.2">
      <c r="A200">
        <v>20</v>
      </c>
      <c r="B200">
        <v>264</v>
      </c>
      <c r="C200">
        <v>2</v>
      </c>
      <c r="D200">
        <v>0</v>
      </c>
      <c r="E200">
        <f>SmtRes!AV264</f>
        <v>0</v>
      </c>
      <c r="F200" t="str">
        <f>SmtRes!I264</f>
        <v>050101</v>
      </c>
      <c r="G200" t="str">
        <f>SmtRes!K264</f>
        <v>Компрессоры передвижные с двигателем внутреннего сгорания давлением до 686 кПа (7 ат), производительность  до 5 м3/мин</v>
      </c>
      <c r="H200" t="str">
        <f>SmtRes!O264</f>
        <v>маш.-ч</v>
      </c>
      <c r="I200">
        <f>SmtRes!Y264*Source!I320</f>
        <v>8.1927999999999987E-2</v>
      </c>
      <c r="J200">
        <f>SmtRes!AO264</f>
        <v>1</v>
      </c>
      <c r="K200">
        <f>SmtRes!AF264</f>
        <v>59.38</v>
      </c>
      <c r="L200">
        <f>SmtRes!DB264</f>
        <v>124.1</v>
      </c>
      <c r="M200">
        <f>ROUND(ROUND(L200*Source!I320, 2)*1, 2)</f>
        <v>4.8600000000000003</v>
      </c>
      <c r="N200">
        <f>SmtRes!AB264</f>
        <v>893.67</v>
      </c>
      <c r="O200">
        <f>ROUND(ROUND(L200*Source!I320, 2)*SmtRes!DA264, 2)</f>
        <v>73.14</v>
      </c>
      <c r="P200">
        <f>SmtRes!AG264</f>
        <v>9</v>
      </c>
      <c r="Q200">
        <f>SmtRes!DC264</f>
        <v>18.809999999999999</v>
      </c>
      <c r="R200">
        <f>ROUND(ROUND(Q200*Source!I320, 2)*1, 2)</f>
        <v>0.74</v>
      </c>
      <c r="S200">
        <f>SmtRes!AC264</f>
        <v>317.43</v>
      </c>
      <c r="T200">
        <f>ROUND(ROUND(Q200*Source!I320, 2)*SmtRes!AK264, 2)</f>
        <v>26.1</v>
      </c>
      <c r="U200">
        <v>2</v>
      </c>
      <c r="Z200">
        <f>SmtRes!X264</f>
        <v>2133576372</v>
      </c>
      <c r="AA200">
        <v>1233612580</v>
      </c>
      <c r="AB200">
        <v>-540860609</v>
      </c>
    </row>
    <row r="201" spans="1:28" x14ac:dyDescent="0.2">
      <c r="A201">
        <v>20</v>
      </c>
      <c r="B201">
        <v>262</v>
      </c>
      <c r="C201">
        <v>1</v>
      </c>
      <c r="D201">
        <v>0</v>
      </c>
      <c r="E201">
        <f>SmtRes!AV262</f>
        <v>1</v>
      </c>
      <c r="F201" t="str">
        <f>SmtRes!I262</f>
        <v>1-1035-21</v>
      </c>
      <c r="G201" t="str">
        <f>SmtRes!K262</f>
        <v>Рабочий строитель среднего разряда 3,5</v>
      </c>
      <c r="H201" t="str">
        <f>SmtRes!O262</f>
        <v>чел.-ч</v>
      </c>
      <c r="I201">
        <f>SmtRes!Y262*Source!I320</f>
        <v>3.1375680000000004</v>
      </c>
      <c r="J201">
        <f>SmtRes!AO262</f>
        <v>1</v>
      </c>
      <c r="K201">
        <f>SmtRes!AH262</f>
        <v>8.48</v>
      </c>
      <c r="L201">
        <f>SmtRes!DB262</f>
        <v>678.74</v>
      </c>
      <c r="M201">
        <f>ROUND(ROUND(L201*Source!I320, 2)*1, 2)</f>
        <v>26.61</v>
      </c>
      <c r="N201">
        <f>SmtRes!AD262</f>
        <v>8.48</v>
      </c>
      <c r="O201">
        <f>ROUND(ROUND(L201*Source!I320, 2)*SmtRes!DA262, 2)</f>
        <v>26.61</v>
      </c>
      <c r="P201">
        <f>SmtRes!AG262</f>
        <v>0</v>
      </c>
      <c r="Q201">
        <f>SmtRes!DC262</f>
        <v>0</v>
      </c>
      <c r="R201">
        <f>ROUND(ROUND(Q201*Source!I320, 2)*1, 2)</f>
        <v>0</v>
      </c>
      <c r="S201">
        <f>SmtRes!AC262</f>
        <v>0</v>
      </c>
      <c r="T201">
        <f>ROUND(ROUND(Q201*Source!I320, 2)*SmtRes!AK262, 2)</f>
        <v>0</v>
      </c>
      <c r="U201">
        <v>1</v>
      </c>
      <c r="Z201">
        <f>SmtRes!X262</f>
        <v>2002501603</v>
      </c>
      <c r="AA201">
        <v>1980744066</v>
      </c>
      <c r="AB201">
        <v>-1857114646</v>
      </c>
    </row>
    <row r="202" spans="1:28" x14ac:dyDescent="0.2">
      <c r="A202">
        <v>20</v>
      </c>
      <c r="B202">
        <v>275</v>
      </c>
      <c r="C202">
        <v>3</v>
      </c>
      <c r="D202">
        <v>0</v>
      </c>
      <c r="E202">
        <f>SmtRes!AV275</f>
        <v>0</v>
      </c>
      <c r="F202" t="str">
        <f>SmtRes!I275</f>
        <v>411-0001</v>
      </c>
      <c r="G202" t="str">
        <f>SmtRes!K275</f>
        <v>Вода</v>
      </c>
      <c r="H202" t="str">
        <f>SmtRes!O275</f>
        <v>м3</v>
      </c>
      <c r="I202">
        <f>SmtRes!Y275*Source!I321</f>
        <v>3.9199999999999999E-4</v>
      </c>
      <c r="J202">
        <f>SmtRes!AO275</f>
        <v>1</v>
      </c>
      <c r="K202">
        <f>SmtRes!AE275</f>
        <v>2.4700000000000002</v>
      </c>
      <c r="L202">
        <f>SmtRes!DB275</f>
        <v>0.02</v>
      </c>
      <c r="M202">
        <f>ROUND(ROUND(L202*Source!I321, 2)*1, 2)</f>
        <v>0</v>
      </c>
      <c r="N202">
        <f>SmtRes!AA275</f>
        <v>19.59</v>
      </c>
      <c r="O202">
        <f>ROUND(ROUND(L202*Source!I321, 2)*SmtRes!DA275, 2)</f>
        <v>0</v>
      </c>
      <c r="P202">
        <f>SmtRes!AG275</f>
        <v>0</v>
      </c>
      <c r="Q202">
        <f>SmtRes!DC275</f>
        <v>0</v>
      </c>
      <c r="R202">
        <f>ROUND(ROUND(Q202*Source!I321, 2)*1, 2)</f>
        <v>0</v>
      </c>
      <c r="S202">
        <f>SmtRes!AC275</f>
        <v>0</v>
      </c>
      <c r="T202">
        <f>ROUND(ROUND(Q202*Source!I321, 2)*SmtRes!AK275, 2)</f>
        <v>0</v>
      </c>
      <c r="U202">
        <v>3</v>
      </c>
      <c r="Z202">
        <f>SmtRes!X275</f>
        <v>-1418712732</v>
      </c>
      <c r="AA202">
        <v>-1607643924</v>
      </c>
      <c r="AB202">
        <v>868455164</v>
      </c>
    </row>
    <row r="203" spans="1:28" x14ac:dyDescent="0.2">
      <c r="A203">
        <v>20</v>
      </c>
      <c r="B203">
        <v>274</v>
      </c>
      <c r="C203">
        <v>3</v>
      </c>
      <c r="D203">
        <v>0</v>
      </c>
      <c r="E203">
        <f>SmtRes!AV274</f>
        <v>0</v>
      </c>
      <c r="F203" t="str">
        <f>SmtRes!I274</f>
        <v>101-4163</v>
      </c>
      <c r="G203" t="str">
        <f>SmtRes!K274</f>
        <v>Грунтовка акриловая НОРТЕКС-ГРУНТ</v>
      </c>
      <c r="H203" t="str">
        <f>SmtRes!O274</f>
        <v>кг</v>
      </c>
      <c r="I203">
        <f>SmtRes!Y274*Source!I321</f>
        <v>0.54096</v>
      </c>
      <c r="J203">
        <f>SmtRes!AO274</f>
        <v>1</v>
      </c>
      <c r="K203">
        <f>SmtRes!AE274</f>
        <v>15.47</v>
      </c>
      <c r="L203">
        <f>SmtRes!DB274</f>
        <v>213.49</v>
      </c>
      <c r="M203">
        <f>ROUND(ROUND(L203*Source!I321, 2)*1, 2)</f>
        <v>8.3699999999999992</v>
      </c>
      <c r="N203">
        <f>SmtRes!AA274</f>
        <v>78.430000000000007</v>
      </c>
      <c r="O203">
        <f>ROUND(ROUND(L203*Source!I321, 2)*SmtRes!DA274, 2)</f>
        <v>42.44</v>
      </c>
      <c r="P203">
        <f>SmtRes!AG274</f>
        <v>0</v>
      </c>
      <c r="Q203">
        <f>SmtRes!DC274</f>
        <v>0</v>
      </c>
      <c r="R203">
        <f>ROUND(ROUND(Q203*Source!I321, 2)*1, 2)</f>
        <v>0</v>
      </c>
      <c r="S203">
        <f>SmtRes!AC274</f>
        <v>0</v>
      </c>
      <c r="T203">
        <f>ROUND(ROUND(Q203*Source!I321, 2)*SmtRes!AK274, 2)</f>
        <v>0</v>
      </c>
      <c r="U203">
        <v>3</v>
      </c>
      <c r="Z203">
        <f>SmtRes!X274</f>
        <v>1617635949</v>
      </c>
      <c r="AA203">
        <v>-1909144956</v>
      </c>
      <c r="AB203">
        <v>-896756813</v>
      </c>
    </row>
    <row r="204" spans="1:28" x14ac:dyDescent="0.2">
      <c r="A204">
        <v>20</v>
      </c>
      <c r="B204">
        <v>273</v>
      </c>
      <c r="C204">
        <v>3</v>
      </c>
      <c r="D204">
        <v>0</v>
      </c>
      <c r="E204">
        <f>SmtRes!AV273</f>
        <v>0</v>
      </c>
      <c r="F204" t="str">
        <f>SmtRes!I273</f>
        <v>101-1757</v>
      </c>
      <c r="G204" t="str">
        <f>SmtRes!K273</f>
        <v>Ветошь</v>
      </c>
      <c r="H204" t="str">
        <f>SmtRes!O273</f>
        <v>кг</v>
      </c>
      <c r="I204">
        <f>SmtRes!Y273*Source!I321</f>
        <v>3.9199999999999999E-2</v>
      </c>
      <c r="J204">
        <f>SmtRes!AO273</f>
        <v>1</v>
      </c>
      <c r="K204">
        <f>SmtRes!AE273</f>
        <v>1.82</v>
      </c>
      <c r="L204">
        <f>SmtRes!DB273</f>
        <v>1.82</v>
      </c>
      <c r="M204">
        <f>ROUND(ROUND(L204*Source!I321, 2)*1, 2)</f>
        <v>7.0000000000000007E-2</v>
      </c>
      <c r="N204">
        <f>SmtRes!AA273</f>
        <v>27.37</v>
      </c>
      <c r="O204">
        <f>ROUND(ROUND(L204*Source!I321, 2)*SmtRes!DA273, 2)</f>
        <v>1.05</v>
      </c>
      <c r="P204">
        <f>SmtRes!AG273</f>
        <v>0</v>
      </c>
      <c r="Q204">
        <f>SmtRes!DC273</f>
        <v>0</v>
      </c>
      <c r="R204">
        <f>ROUND(ROUND(Q204*Source!I321, 2)*1, 2)</f>
        <v>0</v>
      </c>
      <c r="S204">
        <f>SmtRes!AC273</f>
        <v>0</v>
      </c>
      <c r="T204">
        <f>ROUND(ROUND(Q204*Source!I321, 2)*SmtRes!AK273, 2)</f>
        <v>0</v>
      </c>
      <c r="U204">
        <v>3</v>
      </c>
      <c r="Z204">
        <f>SmtRes!X273</f>
        <v>844235703</v>
      </c>
      <c r="AA204">
        <v>-1982503573</v>
      </c>
      <c r="AB204">
        <v>71052071</v>
      </c>
    </row>
    <row r="205" spans="1:28" x14ac:dyDescent="0.2">
      <c r="A205">
        <v>20</v>
      </c>
      <c r="B205">
        <v>272</v>
      </c>
      <c r="C205">
        <v>2</v>
      </c>
      <c r="D205">
        <v>0</v>
      </c>
      <c r="E205">
        <f>SmtRes!AV272</f>
        <v>0</v>
      </c>
      <c r="F205" t="str">
        <f>SmtRes!I272</f>
        <v>400001</v>
      </c>
      <c r="G205" t="str">
        <f>SmtRes!K272</f>
        <v>Автомобили бортовые, грузоподъемность до 5 т</v>
      </c>
      <c r="H205" t="str">
        <f>SmtRes!O272</f>
        <v>маш.-ч</v>
      </c>
      <c r="I205">
        <f>SmtRes!Y272*Source!I321</f>
        <v>1.5679999999999999E-3</v>
      </c>
      <c r="J205">
        <f>SmtRes!AO272</f>
        <v>1</v>
      </c>
      <c r="K205">
        <f>SmtRes!AF272</f>
        <v>91.76</v>
      </c>
      <c r="L205">
        <f>SmtRes!DB272</f>
        <v>3.67</v>
      </c>
      <c r="M205">
        <f>ROUND(ROUND(L205*Source!I321, 2)*1, 2)</f>
        <v>0.14000000000000001</v>
      </c>
      <c r="N205">
        <f>SmtRes!AB272</f>
        <v>1305.74</v>
      </c>
      <c r="O205">
        <f>ROUND(ROUND(L205*Source!I321, 2)*SmtRes!DA272, 2)</f>
        <v>1.99</v>
      </c>
      <c r="P205">
        <f>SmtRes!AG272</f>
        <v>10.35</v>
      </c>
      <c r="Q205">
        <f>SmtRes!DC272</f>
        <v>0.41</v>
      </c>
      <c r="R205">
        <f>ROUND(ROUND(Q205*Source!I321, 2)*1, 2)</f>
        <v>0.02</v>
      </c>
      <c r="S205">
        <f>SmtRes!AC272</f>
        <v>365.04</v>
      </c>
      <c r="T205">
        <f>ROUND(ROUND(Q205*Source!I321, 2)*SmtRes!AK272, 2)</f>
        <v>0.71</v>
      </c>
      <c r="U205">
        <v>2</v>
      </c>
      <c r="Z205">
        <f>SmtRes!X272</f>
        <v>-671646184</v>
      </c>
      <c r="AA205">
        <v>807713937</v>
      </c>
      <c r="AB205">
        <v>1619992053</v>
      </c>
    </row>
    <row r="206" spans="1:28" x14ac:dyDescent="0.2">
      <c r="A206">
        <v>20</v>
      </c>
      <c r="B206">
        <v>271</v>
      </c>
      <c r="C206">
        <v>2</v>
      </c>
      <c r="D206">
        <v>0</v>
      </c>
      <c r="E206">
        <f>SmtRes!AV271</f>
        <v>0</v>
      </c>
      <c r="F206" t="str">
        <f>SmtRes!I271</f>
        <v>340101</v>
      </c>
      <c r="G206" t="str">
        <f>SmtRes!K271</f>
        <v>Агрегаты окрасочные высокого давления для окраски поверхностей конструкций мощностью 1 кВт</v>
      </c>
      <c r="H206" t="str">
        <f>SmtRes!O271</f>
        <v>маш.-ч</v>
      </c>
      <c r="I206">
        <f>SmtRes!Y271*Source!I321</f>
        <v>0.11054399999999999</v>
      </c>
      <c r="J206">
        <f>SmtRes!AO271</f>
        <v>1</v>
      </c>
      <c r="K206">
        <f>SmtRes!AF271</f>
        <v>7.52</v>
      </c>
      <c r="L206">
        <f>SmtRes!DB271</f>
        <v>21.21</v>
      </c>
      <c r="M206">
        <f>ROUND(ROUND(L206*Source!I321, 2)*1, 2)</f>
        <v>0.83</v>
      </c>
      <c r="N206">
        <f>SmtRes!AB271</f>
        <v>43.92</v>
      </c>
      <c r="O206">
        <f>ROUND(ROUND(L206*Source!I321, 2)*SmtRes!DA271, 2)</f>
        <v>4.8499999999999996</v>
      </c>
      <c r="P206">
        <f>SmtRes!AG271</f>
        <v>0</v>
      </c>
      <c r="Q206">
        <f>SmtRes!DC271</f>
        <v>0</v>
      </c>
      <c r="R206">
        <f>ROUND(ROUND(Q206*Source!I321, 2)*1, 2)</f>
        <v>0</v>
      </c>
      <c r="S206">
        <f>SmtRes!AC271</f>
        <v>0</v>
      </c>
      <c r="T206">
        <f>ROUND(ROUND(Q206*Source!I321, 2)*SmtRes!AK271, 2)</f>
        <v>0</v>
      </c>
      <c r="U206">
        <v>2</v>
      </c>
      <c r="Z206">
        <f>SmtRes!X271</f>
        <v>-244626325</v>
      </c>
      <c r="AA206">
        <v>939326372</v>
      </c>
      <c r="AB206">
        <v>2020853272</v>
      </c>
    </row>
    <row r="207" spans="1:28" x14ac:dyDescent="0.2">
      <c r="A207">
        <v>20</v>
      </c>
      <c r="B207">
        <v>270</v>
      </c>
      <c r="C207">
        <v>2</v>
      </c>
      <c r="D207">
        <v>0</v>
      </c>
      <c r="E207">
        <f>SmtRes!AV270</f>
        <v>0</v>
      </c>
      <c r="F207" t="str">
        <f>SmtRes!I270</f>
        <v>030952</v>
      </c>
      <c r="G207" t="str">
        <f>SmtRes!K270</f>
        <v>Подъемники грузоподъемностью до 500 кг одномачтовые, высота подъема 25 м</v>
      </c>
      <c r="H207" t="str">
        <f>SmtRes!O270</f>
        <v>маш.-ч</v>
      </c>
      <c r="I207">
        <f>SmtRes!Y270*Source!I321</f>
        <v>3.9199999999999999E-4</v>
      </c>
      <c r="J207">
        <f>SmtRes!AO270</f>
        <v>1</v>
      </c>
      <c r="K207">
        <f>SmtRes!AF270</f>
        <v>28.1</v>
      </c>
      <c r="L207">
        <f>SmtRes!DB270</f>
        <v>0.28000000000000003</v>
      </c>
      <c r="M207">
        <f>ROUND(ROUND(L207*Source!I321, 2)*1, 2)</f>
        <v>0.01</v>
      </c>
      <c r="N207">
        <f>SmtRes!AB270</f>
        <v>427.68</v>
      </c>
      <c r="O207">
        <f>ROUND(ROUND(L207*Source!I321, 2)*SmtRes!DA270, 2)</f>
        <v>0.15</v>
      </c>
      <c r="P207">
        <f>SmtRes!AG270</f>
        <v>10.35</v>
      </c>
      <c r="Q207">
        <f>SmtRes!DC270</f>
        <v>0.1</v>
      </c>
      <c r="R207">
        <f>ROUND(ROUND(Q207*Source!I321, 2)*1, 2)</f>
        <v>0</v>
      </c>
      <c r="S207">
        <f>SmtRes!AC270</f>
        <v>365.04</v>
      </c>
      <c r="T207">
        <f>ROUND(ROUND(Q207*Source!I321, 2)*SmtRes!AK270, 2)</f>
        <v>0</v>
      </c>
      <c r="U207">
        <v>2</v>
      </c>
      <c r="Z207">
        <f>SmtRes!X270</f>
        <v>1410020565</v>
      </c>
      <c r="AA207">
        <v>395483414</v>
      </c>
      <c r="AB207">
        <v>1049201179</v>
      </c>
    </row>
    <row r="208" spans="1:28" x14ac:dyDescent="0.2">
      <c r="A208">
        <v>20</v>
      </c>
      <c r="B208">
        <v>268</v>
      </c>
      <c r="C208">
        <v>1</v>
      </c>
      <c r="D208">
        <v>0</v>
      </c>
      <c r="E208">
        <f>SmtRes!AV268</f>
        <v>1</v>
      </c>
      <c r="F208" t="str">
        <f>SmtRes!I268</f>
        <v>1-1036-21</v>
      </c>
      <c r="G208" t="str">
        <f>SmtRes!K268</f>
        <v>Рабочий строитель среднего разряда 3,6</v>
      </c>
      <c r="H208" t="str">
        <f>SmtRes!O268</f>
        <v>чел.-ч</v>
      </c>
      <c r="I208">
        <f>SmtRes!Y268*Source!I321</f>
        <v>0.144648</v>
      </c>
      <c r="J208">
        <f>SmtRes!AO268</f>
        <v>1</v>
      </c>
      <c r="K208">
        <f>SmtRes!AH268</f>
        <v>8.58</v>
      </c>
      <c r="L208">
        <f>SmtRes!DB268</f>
        <v>31.66</v>
      </c>
      <c r="M208">
        <f>ROUND(ROUND(L208*Source!I321, 2)*1, 2)</f>
        <v>1.24</v>
      </c>
      <c r="N208">
        <f>SmtRes!AD268</f>
        <v>8.58</v>
      </c>
      <c r="O208">
        <f>ROUND(ROUND(L208*Source!I321, 2)*SmtRes!DA268, 2)</f>
        <v>1.24</v>
      </c>
      <c r="P208">
        <f>SmtRes!AG268</f>
        <v>0</v>
      </c>
      <c r="Q208">
        <f>SmtRes!DC268</f>
        <v>0</v>
      </c>
      <c r="R208">
        <f>ROUND(ROUND(Q208*Source!I321, 2)*1, 2)</f>
        <v>0</v>
      </c>
      <c r="S208">
        <f>SmtRes!AC268</f>
        <v>0</v>
      </c>
      <c r="T208">
        <f>ROUND(ROUND(Q208*Source!I321, 2)*SmtRes!AK268, 2)</f>
        <v>0</v>
      </c>
      <c r="U208">
        <v>1</v>
      </c>
      <c r="Z208">
        <f>SmtRes!X268</f>
        <v>1351218007</v>
      </c>
      <c r="AA208">
        <v>542016644</v>
      </c>
      <c r="AB208">
        <v>1149990855</v>
      </c>
    </row>
    <row r="209" spans="1:28" x14ac:dyDescent="0.2">
      <c r="A209">
        <v>20</v>
      </c>
      <c r="B209">
        <v>284</v>
      </c>
      <c r="C209">
        <v>3</v>
      </c>
      <c r="D209">
        <v>0</v>
      </c>
      <c r="E209">
        <f>SmtRes!AV284</f>
        <v>0</v>
      </c>
      <c r="F209" t="str">
        <f>SmtRes!I284</f>
        <v>101-4163</v>
      </c>
      <c r="G209" t="str">
        <f>SmtRes!K284</f>
        <v>Грунтовка акриловая НОРТЕКС-ГРУНТ</v>
      </c>
      <c r="H209" t="str">
        <f>SmtRes!O284</f>
        <v>кг</v>
      </c>
      <c r="I209">
        <f>SmtRes!Y284*Source!I322</f>
        <v>0.78400000000000003</v>
      </c>
      <c r="J209">
        <f>SmtRes!AO284</f>
        <v>1</v>
      </c>
      <c r="K209">
        <f>SmtRes!AE284</f>
        <v>15.47</v>
      </c>
      <c r="L209">
        <f>SmtRes!DB284</f>
        <v>309.39999999999998</v>
      </c>
      <c r="M209">
        <f>ROUND(ROUND(L209*Source!I322, 2)*1, 2)</f>
        <v>12.13</v>
      </c>
      <c r="N209">
        <f>SmtRes!AA284</f>
        <v>78.430000000000007</v>
      </c>
      <c r="O209">
        <f>ROUND(ROUND(L209*Source!I322, 2)*SmtRes!DA284, 2)</f>
        <v>61.5</v>
      </c>
      <c r="P209">
        <f>SmtRes!AG284</f>
        <v>0</v>
      </c>
      <c r="Q209">
        <f>SmtRes!DC284</f>
        <v>0</v>
      </c>
      <c r="R209">
        <f>ROUND(ROUND(Q209*Source!I322, 2)*1, 2)</f>
        <v>0</v>
      </c>
      <c r="S209">
        <f>SmtRes!AC284</f>
        <v>0</v>
      </c>
      <c r="T209">
        <f>ROUND(ROUND(Q209*Source!I322, 2)*SmtRes!AK284, 2)</f>
        <v>0</v>
      </c>
      <c r="U209">
        <v>3</v>
      </c>
      <c r="Z209">
        <f>SmtRes!X284</f>
        <v>1617635949</v>
      </c>
      <c r="AA209">
        <v>-1909144956</v>
      </c>
      <c r="AB209">
        <v>-896756813</v>
      </c>
    </row>
    <row r="210" spans="1:28" x14ac:dyDescent="0.2">
      <c r="A210">
        <v>20</v>
      </c>
      <c r="B210">
        <v>283</v>
      </c>
      <c r="C210">
        <v>3</v>
      </c>
      <c r="D210">
        <v>0</v>
      </c>
      <c r="E210">
        <f>SmtRes!AV283</f>
        <v>0</v>
      </c>
      <c r="F210" t="str">
        <f>SmtRes!I283</f>
        <v>101-3585</v>
      </c>
      <c r="G210" t="str">
        <f>SmtRes!K283</f>
        <v>Шпатлевка водно-дисперсионная</v>
      </c>
      <c r="H210" t="str">
        <f>SmtRes!O283</f>
        <v>т</v>
      </c>
      <c r="I210">
        <f>SmtRes!Y283*Source!I322</f>
        <v>1.9599999999999999E-4</v>
      </c>
      <c r="J210">
        <f>SmtRes!AO283</f>
        <v>1</v>
      </c>
      <c r="K210">
        <f>SmtRes!AE283</f>
        <v>11568.05</v>
      </c>
      <c r="L210">
        <f>SmtRes!DB283</f>
        <v>57.84</v>
      </c>
      <c r="M210">
        <f>ROUND(ROUND(L210*Source!I322, 2)*1, 2)</f>
        <v>2.27</v>
      </c>
      <c r="N210">
        <f>SmtRes!AA283</f>
        <v>74382.559999999998</v>
      </c>
      <c r="O210">
        <f>ROUND(ROUND(L210*Source!I322, 2)*SmtRes!DA283, 2)</f>
        <v>14.6</v>
      </c>
      <c r="P210">
        <f>SmtRes!AG283</f>
        <v>0</v>
      </c>
      <c r="Q210">
        <f>SmtRes!DC283</f>
        <v>0</v>
      </c>
      <c r="R210">
        <f>ROUND(ROUND(Q210*Source!I322, 2)*1, 2)</f>
        <v>0</v>
      </c>
      <c r="S210">
        <f>SmtRes!AC283</f>
        <v>0</v>
      </c>
      <c r="T210">
        <f>ROUND(ROUND(Q210*Source!I322, 2)*SmtRes!AK283, 2)</f>
        <v>0</v>
      </c>
      <c r="U210">
        <v>3</v>
      </c>
      <c r="Z210">
        <f>SmtRes!X283</f>
        <v>876045080</v>
      </c>
      <c r="AA210">
        <v>538173406</v>
      </c>
      <c r="AB210">
        <v>-1894416096</v>
      </c>
    </row>
    <row r="211" spans="1:28" x14ac:dyDescent="0.2">
      <c r="A211">
        <v>20</v>
      </c>
      <c r="B211">
        <v>282</v>
      </c>
      <c r="C211">
        <v>3</v>
      </c>
      <c r="D211">
        <v>0</v>
      </c>
      <c r="E211">
        <f>SmtRes!AV282</f>
        <v>0</v>
      </c>
      <c r="F211" t="str">
        <f>SmtRes!I282</f>
        <v>101-3512</v>
      </c>
      <c r="G211" t="str">
        <f>SmtRes!K282</f>
        <v>Краска акриловая ВД-АК 2180, ВГТ</v>
      </c>
      <c r="H211" t="str">
        <f>SmtRes!O282</f>
        <v>т</v>
      </c>
      <c r="I211">
        <f>SmtRes!Y282*Source!I322</f>
        <v>1.176E-3</v>
      </c>
      <c r="J211">
        <f>SmtRes!AO282</f>
        <v>1</v>
      </c>
      <c r="K211">
        <f>SmtRes!AE282</f>
        <v>4500.91</v>
      </c>
      <c r="L211">
        <f>SmtRes!DB282</f>
        <v>135.03</v>
      </c>
      <c r="M211">
        <f>ROUND(ROUND(L211*Source!I322, 2)*1, 2)</f>
        <v>5.29</v>
      </c>
      <c r="N211">
        <f>SmtRes!AA282</f>
        <v>60942.32</v>
      </c>
      <c r="O211">
        <f>ROUND(ROUND(L211*Source!I322, 2)*SmtRes!DA282, 2)</f>
        <v>71.63</v>
      </c>
      <c r="P211">
        <f>SmtRes!AG282</f>
        <v>0</v>
      </c>
      <c r="Q211">
        <f>SmtRes!DC282</f>
        <v>0</v>
      </c>
      <c r="R211">
        <f>ROUND(ROUND(Q211*Source!I322, 2)*1, 2)</f>
        <v>0</v>
      </c>
      <c r="S211">
        <f>SmtRes!AC282</f>
        <v>0</v>
      </c>
      <c r="T211">
        <f>ROUND(ROUND(Q211*Source!I322, 2)*SmtRes!AK282, 2)</f>
        <v>0</v>
      </c>
      <c r="U211">
        <v>3</v>
      </c>
      <c r="Z211">
        <f>SmtRes!X282</f>
        <v>-646942192</v>
      </c>
      <c r="AA211">
        <v>-1589263851</v>
      </c>
      <c r="AB211">
        <v>2021942029</v>
      </c>
    </row>
    <row r="212" spans="1:28" x14ac:dyDescent="0.2">
      <c r="A212">
        <v>20</v>
      </c>
      <c r="B212">
        <v>281</v>
      </c>
      <c r="C212">
        <v>3</v>
      </c>
      <c r="D212">
        <v>0</v>
      </c>
      <c r="E212">
        <f>SmtRes!AV281</f>
        <v>0</v>
      </c>
      <c r="F212" t="str">
        <f>SmtRes!I281</f>
        <v>101-1757</v>
      </c>
      <c r="G212" t="str">
        <f>SmtRes!K281</f>
        <v>Ветошь</v>
      </c>
      <c r="H212" t="str">
        <f>SmtRes!O281</f>
        <v>кг</v>
      </c>
      <c r="I212">
        <f>SmtRes!Y281*Source!I322</f>
        <v>1.2152E-2</v>
      </c>
      <c r="J212">
        <f>SmtRes!AO281</f>
        <v>1</v>
      </c>
      <c r="K212">
        <f>SmtRes!AE281</f>
        <v>1.82</v>
      </c>
      <c r="L212">
        <f>SmtRes!DB281</f>
        <v>0.56000000000000005</v>
      </c>
      <c r="M212">
        <f>ROUND(ROUND(L212*Source!I322, 2)*1, 2)</f>
        <v>0.02</v>
      </c>
      <c r="N212">
        <f>SmtRes!AA281</f>
        <v>27.37</v>
      </c>
      <c r="O212">
        <f>ROUND(ROUND(L212*Source!I322, 2)*SmtRes!DA281, 2)</f>
        <v>0.3</v>
      </c>
      <c r="P212">
        <f>SmtRes!AG281</f>
        <v>0</v>
      </c>
      <c r="Q212">
        <f>SmtRes!DC281</f>
        <v>0</v>
      </c>
      <c r="R212">
        <f>ROUND(ROUND(Q212*Source!I322, 2)*1, 2)</f>
        <v>0</v>
      </c>
      <c r="S212">
        <f>SmtRes!AC281</f>
        <v>0</v>
      </c>
      <c r="T212">
        <f>ROUND(ROUND(Q212*Source!I322, 2)*SmtRes!AK281, 2)</f>
        <v>0</v>
      </c>
      <c r="U212">
        <v>3</v>
      </c>
      <c r="Z212">
        <f>SmtRes!X281</f>
        <v>844235703</v>
      </c>
      <c r="AA212">
        <v>-1982503573</v>
      </c>
      <c r="AB212">
        <v>71052071</v>
      </c>
    </row>
    <row r="213" spans="1:28" x14ac:dyDescent="0.2">
      <c r="A213">
        <v>20</v>
      </c>
      <c r="B213">
        <v>280</v>
      </c>
      <c r="C213">
        <v>3</v>
      </c>
      <c r="D213">
        <v>0</v>
      </c>
      <c r="E213">
        <f>SmtRes!AV280</f>
        <v>0</v>
      </c>
      <c r="F213" t="str">
        <f>SmtRes!I280</f>
        <v>101-1596</v>
      </c>
      <c r="G213" t="str">
        <f>SmtRes!K280</f>
        <v>Шкурка шлифовальная двухслойная с зернистостью 40-25</v>
      </c>
      <c r="H213" t="str">
        <f>SmtRes!O280</f>
        <v>м2</v>
      </c>
      <c r="I213">
        <f>SmtRes!Y280*Source!I322</f>
        <v>3.2927999999999999E-2</v>
      </c>
      <c r="J213">
        <f>SmtRes!AO280</f>
        <v>1</v>
      </c>
      <c r="K213">
        <f>SmtRes!AE280</f>
        <v>72.319999999999993</v>
      </c>
      <c r="L213">
        <f>SmtRes!DB280</f>
        <v>60.75</v>
      </c>
      <c r="M213">
        <f>ROUND(ROUND(L213*Source!I322, 2)*1, 2)</f>
        <v>2.38</v>
      </c>
      <c r="N213">
        <f>SmtRes!AA280</f>
        <v>531.54999999999995</v>
      </c>
      <c r="O213">
        <f>ROUND(ROUND(L213*Source!I322, 2)*SmtRes!DA280, 2)</f>
        <v>17.489999999999998</v>
      </c>
      <c r="P213">
        <f>SmtRes!AG280</f>
        <v>0</v>
      </c>
      <c r="Q213">
        <f>SmtRes!DC280</f>
        <v>0</v>
      </c>
      <c r="R213">
        <f>ROUND(ROUND(Q213*Source!I322, 2)*1, 2)</f>
        <v>0</v>
      </c>
      <c r="S213">
        <f>SmtRes!AC280</f>
        <v>0</v>
      </c>
      <c r="T213">
        <f>ROUND(ROUND(Q213*Source!I322, 2)*SmtRes!AK280, 2)</f>
        <v>0</v>
      </c>
      <c r="U213">
        <v>3</v>
      </c>
      <c r="Z213">
        <f>SmtRes!X280</f>
        <v>1290542317</v>
      </c>
      <c r="AA213">
        <v>2117467827</v>
      </c>
      <c r="AB213">
        <v>1315843360</v>
      </c>
    </row>
    <row r="214" spans="1:28" x14ac:dyDescent="0.2">
      <c r="A214">
        <v>20</v>
      </c>
      <c r="B214">
        <v>279</v>
      </c>
      <c r="C214">
        <v>2</v>
      </c>
      <c r="D214">
        <v>0</v>
      </c>
      <c r="E214">
        <f>SmtRes!AV279</f>
        <v>0</v>
      </c>
      <c r="F214" t="str">
        <f>SmtRes!I279</f>
        <v>400001</v>
      </c>
      <c r="G214" t="str">
        <f>SmtRes!K279</f>
        <v>Автомобили бортовые, грузоподъемность до 5 т</v>
      </c>
      <c r="H214" t="str">
        <f>SmtRes!O279</f>
        <v>маш.-ч</v>
      </c>
      <c r="I214">
        <f>SmtRes!Y279*Source!I322</f>
        <v>3.9199999999999999E-3</v>
      </c>
      <c r="J214">
        <f>SmtRes!AO279</f>
        <v>1</v>
      </c>
      <c r="K214">
        <f>SmtRes!AF279</f>
        <v>91.76</v>
      </c>
      <c r="L214">
        <f>SmtRes!DB279</f>
        <v>9.18</v>
      </c>
      <c r="M214">
        <f>ROUND(ROUND(L214*Source!I322, 2)*1, 2)</f>
        <v>0.36</v>
      </c>
      <c r="N214">
        <f>SmtRes!AB279</f>
        <v>1305.74</v>
      </c>
      <c r="O214">
        <f>ROUND(ROUND(L214*Source!I322, 2)*SmtRes!DA279, 2)</f>
        <v>5.12</v>
      </c>
      <c r="P214">
        <f>SmtRes!AG279</f>
        <v>10.35</v>
      </c>
      <c r="Q214">
        <f>SmtRes!DC279</f>
        <v>1.04</v>
      </c>
      <c r="R214">
        <f>ROUND(ROUND(Q214*Source!I322, 2)*1, 2)</f>
        <v>0.04</v>
      </c>
      <c r="S214">
        <f>SmtRes!AC279</f>
        <v>365.04</v>
      </c>
      <c r="T214">
        <f>ROUND(ROUND(Q214*Source!I322, 2)*SmtRes!AK279, 2)</f>
        <v>1.41</v>
      </c>
      <c r="U214">
        <v>2</v>
      </c>
      <c r="Z214">
        <f>SmtRes!X279</f>
        <v>-671646184</v>
      </c>
      <c r="AA214">
        <v>807713937</v>
      </c>
      <c r="AB214">
        <v>1619992053</v>
      </c>
    </row>
    <row r="215" spans="1:28" x14ac:dyDescent="0.2">
      <c r="A215">
        <v>20</v>
      </c>
      <c r="B215">
        <v>278</v>
      </c>
      <c r="C215">
        <v>2</v>
      </c>
      <c r="D215">
        <v>0</v>
      </c>
      <c r="E215">
        <f>SmtRes!AV278</f>
        <v>0</v>
      </c>
      <c r="F215" t="str">
        <f>SmtRes!I278</f>
        <v>030952</v>
      </c>
      <c r="G215" t="str">
        <f>SmtRes!K278</f>
        <v>Подъемники грузоподъемностью до 500 кг одномачтовые, высота подъема 25 м</v>
      </c>
      <c r="H215" t="str">
        <f>SmtRes!O278</f>
        <v>маш.-ч</v>
      </c>
      <c r="I215">
        <f>SmtRes!Y278*Source!I322</f>
        <v>3.9199999999999999E-4</v>
      </c>
      <c r="J215">
        <f>SmtRes!AO278</f>
        <v>1</v>
      </c>
      <c r="K215">
        <f>SmtRes!AF278</f>
        <v>28.1</v>
      </c>
      <c r="L215">
        <f>SmtRes!DB278</f>
        <v>0.28000000000000003</v>
      </c>
      <c r="M215">
        <f>ROUND(ROUND(L215*Source!I322, 2)*1, 2)</f>
        <v>0.01</v>
      </c>
      <c r="N215">
        <f>SmtRes!AB278</f>
        <v>427.68</v>
      </c>
      <c r="O215">
        <f>ROUND(ROUND(L215*Source!I322, 2)*SmtRes!DA278, 2)</f>
        <v>0.15</v>
      </c>
      <c r="P215">
        <f>SmtRes!AG278</f>
        <v>10.35</v>
      </c>
      <c r="Q215">
        <f>SmtRes!DC278</f>
        <v>0.1</v>
      </c>
      <c r="R215">
        <f>ROUND(ROUND(Q215*Source!I322, 2)*1, 2)</f>
        <v>0</v>
      </c>
      <c r="S215">
        <f>SmtRes!AC278</f>
        <v>365.04</v>
      </c>
      <c r="T215">
        <f>ROUND(ROUND(Q215*Source!I322, 2)*SmtRes!AK278, 2)</f>
        <v>0</v>
      </c>
      <c r="U215">
        <v>2</v>
      </c>
      <c r="Z215">
        <f>SmtRes!X278</f>
        <v>1410020565</v>
      </c>
      <c r="AA215">
        <v>395483414</v>
      </c>
      <c r="AB215">
        <v>1049201179</v>
      </c>
    </row>
    <row r="216" spans="1:28" x14ac:dyDescent="0.2">
      <c r="A216">
        <v>20</v>
      </c>
      <c r="B216">
        <v>276</v>
      </c>
      <c r="C216">
        <v>1</v>
      </c>
      <c r="D216">
        <v>0</v>
      </c>
      <c r="E216">
        <f>SmtRes!AV276</f>
        <v>1</v>
      </c>
      <c r="F216" t="str">
        <f>SmtRes!I276</f>
        <v>1-1033-21</v>
      </c>
      <c r="G216" t="str">
        <f>SmtRes!K276</f>
        <v>Рабочий строитель среднего разряда 3,3</v>
      </c>
      <c r="H216" t="str">
        <f>SmtRes!O276</f>
        <v>чел.-ч</v>
      </c>
      <c r="I216">
        <f>SmtRes!Y276*Source!I322</f>
        <v>1.2830159999999999</v>
      </c>
      <c r="J216">
        <f>SmtRes!AO276</f>
        <v>1</v>
      </c>
      <c r="K216">
        <f>SmtRes!AH276</f>
        <v>8.2799999999999994</v>
      </c>
      <c r="L216">
        <f>SmtRes!DB276</f>
        <v>271</v>
      </c>
      <c r="M216">
        <f>ROUND(ROUND(L216*Source!I322, 2)*1, 2)</f>
        <v>10.62</v>
      </c>
      <c r="N216">
        <f>SmtRes!AD276</f>
        <v>8.2799999999999994</v>
      </c>
      <c r="O216">
        <f>ROUND(ROUND(L216*Source!I322, 2)*SmtRes!DA276, 2)</f>
        <v>10.62</v>
      </c>
      <c r="P216">
        <f>SmtRes!AG276</f>
        <v>0</v>
      </c>
      <c r="Q216">
        <f>SmtRes!DC276</f>
        <v>0</v>
      </c>
      <c r="R216">
        <f>ROUND(ROUND(Q216*Source!I322, 2)*1, 2)</f>
        <v>0</v>
      </c>
      <c r="S216">
        <f>SmtRes!AC276</f>
        <v>0</v>
      </c>
      <c r="T216">
        <f>ROUND(ROUND(Q216*Source!I322, 2)*SmtRes!AK276, 2)</f>
        <v>0</v>
      </c>
      <c r="U216">
        <v>1</v>
      </c>
      <c r="Z216">
        <f>SmtRes!X276</f>
        <v>1663406391</v>
      </c>
      <c r="AA216">
        <v>-1231573054</v>
      </c>
      <c r="AB216">
        <v>470978775</v>
      </c>
    </row>
    <row r="217" spans="1:28" x14ac:dyDescent="0.2">
      <c r="A217">
        <v>20</v>
      </c>
      <c r="B217">
        <v>290</v>
      </c>
      <c r="C217">
        <v>3</v>
      </c>
      <c r="D217">
        <v>0</v>
      </c>
      <c r="E217">
        <f>SmtRes!AV290</f>
        <v>0</v>
      </c>
      <c r="F217" t="str">
        <f>SmtRes!I290</f>
        <v>201-0832</v>
      </c>
      <c r="G217" t="str">
        <f>SmtRes!K290</f>
        <v>Бруски деревянные 50*50 мм</v>
      </c>
      <c r="H217" t="str">
        <f>SmtRes!O290</f>
        <v>м</v>
      </c>
      <c r="I217">
        <f>SmtRes!Y290*Source!I323</f>
        <v>5.59</v>
      </c>
      <c r="J217">
        <f>SmtRes!AO290</f>
        <v>1</v>
      </c>
      <c r="K217">
        <f>SmtRes!AE290</f>
        <v>4.2300000000000004</v>
      </c>
      <c r="L217">
        <f>SmtRes!DB290</f>
        <v>236.46</v>
      </c>
      <c r="M217">
        <f>ROUND(ROUND(L217*Source!I323, 2)*1, 2)</f>
        <v>23.65</v>
      </c>
      <c r="N217">
        <f>SmtRes!AA290</f>
        <v>43.74</v>
      </c>
      <c r="O217">
        <f>ROUND(ROUND(L217*Source!I323, 2)*SmtRes!DA290, 2)</f>
        <v>244.54</v>
      </c>
      <c r="P217">
        <f>SmtRes!AG290</f>
        <v>0</v>
      </c>
      <c r="Q217">
        <f>SmtRes!DC290</f>
        <v>0</v>
      </c>
      <c r="R217">
        <f>ROUND(ROUND(Q217*Source!I323, 2)*1, 2)</f>
        <v>0</v>
      </c>
      <c r="S217">
        <f>SmtRes!AC290</f>
        <v>0</v>
      </c>
      <c r="T217">
        <f>ROUND(ROUND(Q217*Source!I323, 2)*SmtRes!AK290, 2)</f>
        <v>0</v>
      </c>
      <c r="U217">
        <v>3</v>
      </c>
      <c r="Z217">
        <f>SmtRes!X290</f>
        <v>723599891</v>
      </c>
      <c r="AA217">
        <v>-532988002</v>
      </c>
      <c r="AB217">
        <v>-209125875</v>
      </c>
    </row>
    <row r="218" spans="1:28" x14ac:dyDescent="0.2">
      <c r="A218">
        <v>20</v>
      </c>
      <c r="B218">
        <v>289</v>
      </c>
      <c r="C218">
        <v>2</v>
      </c>
      <c r="D218">
        <v>0</v>
      </c>
      <c r="E218">
        <f>SmtRes!AV289</f>
        <v>0</v>
      </c>
      <c r="F218" t="str">
        <f>SmtRes!I289</f>
        <v>400001</v>
      </c>
      <c r="G218" t="str">
        <f>SmtRes!K289</f>
        <v>Автомобили бортовые, грузоподъемность до 5 т</v>
      </c>
      <c r="H218" t="str">
        <f>SmtRes!O289</f>
        <v>маш.-ч</v>
      </c>
      <c r="I218">
        <f>SmtRes!Y289*Source!I323</f>
        <v>8.1000000000000016E-2</v>
      </c>
      <c r="J218">
        <f>SmtRes!AO289</f>
        <v>1</v>
      </c>
      <c r="K218">
        <f>SmtRes!AF289</f>
        <v>91.76</v>
      </c>
      <c r="L218">
        <f>SmtRes!DB289</f>
        <v>74.33</v>
      </c>
      <c r="M218">
        <f>ROUND(ROUND(L218*Source!I323, 2)*1, 2)</f>
        <v>7.43</v>
      </c>
      <c r="N218">
        <f>SmtRes!AB289</f>
        <v>1305.74</v>
      </c>
      <c r="O218">
        <f>ROUND(ROUND(L218*Source!I323, 2)*SmtRes!DA289, 2)</f>
        <v>105.73</v>
      </c>
      <c r="P218">
        <f>SmtRes!AG289</f>
        <v>10.35</v>
      </c>
      <c r="Q218">
        <f>SmtRes!DC289</f>
        <v>8.3800000000000008</v>
      </c>
      <c r="R218">
        <f>ROUND(ROUND(Q218*Source!I323, 2)*1, 2)</f>
        <v>0.84</v>
      </c>
      <c r="S218">
        <f>SmtRes!AC289</f>
        <v>365.04</v>
      </c>
      <c r="T218">
        <f>ROUND(ROUND(Q218*Source!I323, 2)*SmtRes!AK289, 2)</f>
        <v>29.63</v>
      </c>
      <c r="U218">
        <v>2</v>
      </c>
      <c r="Z218">
        <f>SmtRes!X289</f>
        <v>-671646184</v>
      </c>
      <c r="AA218">
        <v>807713937</v>
      </c>
      <c r="AB218">
        <v>1619992053</v>
      </c>
    </row>
    <row r="219" spans="1:28" x14ac:dyDescent="0.2">
      <c r="A219">
        <v>20</v>
      </c>
      <c r="B219">
        <v>288</v>
      </c>
      <c r="C219">
        <v>2</v>
      </c>
      <c r="D219">
        <v>0</v>
      </c>
      <c r="E219">
        <f>SmtRes!AV288</f>
        <v>0</v>
      </c>
      <c r="F219" t="str">
        <f>SmtRes!I288</f>
        <v>160402</v>
      </c>
      <c r="G219" t="str">
        <f>SmtRes!K288</f>
        <v>Машины бурильно-крановые на автомобиле, глубина бурения 3,5 м</v>
      </c>
      <c r="H219" t="str">
        <f>SmtRes!O288</f>
        <v>маш.-ч</v>
      </c>
      <c r="I219">
        <f>SmtRes!Y288*Source!I323</f>
        <v>1.093</v>
      </c>
      <c r="J219">
        <f>SmtRes!AO288</f>
        <v>1</v>
      </c>
      <c r="K219">
        <f>SmtRes!AF288</f>
        <v>123.86</v>
      </c>
      <c r="L219">
        <f>SmtRes!DB288</f>
        <v>1353.79</v>
      </c>
      <c r="M219">
        <f>ROUND(ROUND(L219*Source!I323, 2)*1, 2)</f>
        <v>135.38</v>
      </c>
      <c r="N219">
        <f>SmtRes!AB288</f>
        <v>2147.73</v>
      </c>
      <c r="O219">
        <f>ROUND(ROUND(L219*Source!I323, 2)*SmtRes!DA288, 2)</f>
        <v>2347.4899999999998</v>
      </c>
      <c r="P219">
        <f>SmtRes!AG288</f>
        <v>10.35</v>
      </c>
      <c r="Q219">
        <f>SmtRes!DC288</f>
        <v>113.13</v>
      </c>
      <c r="R219">
        <f>ROUND(ROUND(Q219*Source!I323, 2)*1, 2)</f>
        <v>11.31</v>
      </c>
      <c r="S219">
        <f>SmtRes!AC288</f>
        <v>365.04</v>
      </c>
      <c r="T219">
        <f>ROUND(ROUND(Q219*Source!I323, 2)*SmtRes!AK288, 2)</f>
        <v>398.9</v>
      </c>
      <c r="U219">
        <v>2</v>
      </c>
      <c r="Z219">
        <f>SmtRes!X288</f>
        <v>365905357</v>
      </c>
      <c r="AA219">
        <v>1651061585</v>
      </c>
      <c r="AB219">
        <v>-2144793753</v>
      </c>
    </row>
    <row r="220" spans="1:28" x14ac:dyDescent="0.2">
      <c r="A220">
        <v>20</v>
      </c>
      <c r="B220">
        <v>287</v>
      </c>
      <c r="C220">
        <v>2</v>
      </c>
      <c r="D220">
        <v>0</v>
      </c>
      <c r="E220">
        <f>SmtRes!AV287</f>
        <v>0</v>
      </c>
      <c r="F220" t="str">
        <f>SmtRes!I287</f>
        <v>110054</v>
      </c>
      <c r="G220" t="str">
        <f>SmtRes!K287</f>
        <v>Автобетоносмесители 5 м3</v>
      </c>
      <c r="H220" t="str">
        <f>SmtRes!O287</f>
        <v>маш.-ч</v>
      </c>
      <c r="I220">
        <f>SmtRes!Y287*Source!I323</f>
        <v>1.0740000000000001</v>
      </c>
      <c r="J220">
        <f>SmtRes!AO287</f>
        <v>1</v>
      </c>
      <c r="K220">
        <f>SmtRes!AF287</f>
        <v>189</v>
      </c>
      <c r="L220">
        <f>SmtRes!DB287</f>
        <v>2029.86</v>
      </c>
      <c r="M220">
        <f>ROUND(ROUND(L220*Source!I323, 2)*1, 2)</f>
        <v>202.99</v>
      </c>
      <c r="N220">
        <f>SmtRes!AB287</f>
        <v>1532.79</v>
      </c>
      <c r="O220">
        <f>ROUND(ROUND(L220*Source!I323, 2)*SmtRes!DA287, 2)</f>
        <v>1646.25</v>
      </c>
      <c r="P220">
        <f>SmtRes!AG287</f>
        <v>12.1</v>
      </c>
      <c r="Q220">
        <f>SmtRes!DC287</f>
        <v>129.94999999999999</v>
      </c>
      <c r="R220">
        <f>ROUND(ROUND(Q220*Source!I323, 2)*1, 2)</f>
        <v>13</v>
      </c>
      <c r="S220">
        <f>SmtRes!AC287</f>
        <v>426.77</v>
      </c>
      <c r="T220">
        <f>ROUND(ROUND(Q220*Source!I323, 2)*SmtRes!AK287, 2)</f>
        <v>458.51</v>
      </c>
      <c r="U220">
        <v>2</v>
      </c>
      <c r="Z220">
        <f>SmtRes!X287</f>
        <v>-1484005730</v>
      </c>
      <c r="AA220">
        <v>-1341846400</v>
      </c>
      <c r="AB220">
        <v>-1047769044</v>
      </c>
    </row>
    <row r="221" spans="1:28" x14ac:dyDescent="0.2">
      <c r="A221">
        <v>20</v>
      </c>
      <c r="B221">
        <v>285</v>
      </c>
      <c r="C221">
        <v>1</v>
      </c>
      <c r="D221">
        <v>0</v>
      </c>
      <c r="E221">
        <f>SmtRes!AV285</f>
        <v>1</v>
      </c>
      <c r="F221" t="str">
        <f>SmtRes!I285</f>
        <v>1-1030-21</v>
      </c>
      <c r="G221" t="str">
        <f>SmtRes!K285</f>
        <v>Рабочий строитель среднего разряда 3</v>
      </c>
      <c r="H221" t="str">
        <f>SmtRes!O285</f>
        <v>чел.-ч</v>
      </c>
      <c r="I221">
        <f>SmtRes!Y285*Source!I323</f>
        <v>3.5640000000000001</v>
      </c>
      <c r="J221">
        <f>SmtRes!AO285</f>
        <v>1</v>
      </c>
      <c r="K221">
        <f>SmtRes!AH285</f>
        <v>7.97</v>
      </c>
      <c r="L221">
        <f>SmtRes!DB285</f>
        <v>284.05</v>
      </c>
      <c r="M221">
        <f>ROUND(ROUND(L221*Source!I323, 2)*1, 2)</f>
        <v>28.41</v>
      </c>
      <c r="N221">
        <f>SmtRes!AD285</f>
        <v>7.97</v>
      </c>
      <c r="O221">
        <f>ROUND(ROUND(L221*Source!I323, 2)*SmtRes!DA285, 2)</f>
        <v>28.41</v>
      </c>
      <c r="P221">
        <f>SmtRes!AG285</f>
        <v>0</v>
      </c>
      <c r="Q221">
        <f>SmtRes!DC285</f>
        <v>0</v>
      </c>
      <c r="R221">
        <f>ROUND(ROUND(Q221*Source!I323, 2)*1, 2)</f>
        <v>0</v>
      </c>
      <c r="S221">
        <f>SmtRes!AC285</f>
        <v>0</v>
      </c>
      <c r="T221">
        <f>ROUND(ROUND(Q221*Source!I323, 2)*SmtRes!AK285, 2)</f>
        <v>0</v>
      </c>
      <c r="U221">
        <v>1</v>
      </c>
      <c r="Z221">
        <f>SmtRes!X285</f>
        <v>756115135</v>
      </c>
      <c r="AA221">
        <v>-103154406</v>
      </c>
      <c r="AB221">
        <v>1494462434</v>
      </c>
    </row>
    <row r="222" spans="1:28" x14ac:dyDescent="0.2">
      <c r="A222">
        <f>Source!A326</f>
        <v>17</v>
      </c>
      <c r="B222">
        <v>326</v>
      </c>
      <c r="C222">
        <v>3</v>
      </c>
      <c r="D222">
        <f>Source!BI326</f>
        <v>1</v>
      </c>
      <c r="E222">
        <f>Source!FS326</f>
        <v>0</v>
      </c>
      <c r="F222" t="str">
        <f>Source!F326</f>
        <v>103-2491</v>
      </c>
      <c r="G222" t="str">
        <f>Source!G326</f>
        <v>Трубы стальные электросварные прямошовные (ГОСТ 10704-91), наружный диаметр 108 мм, толщина стенки 4,0 мм</v>
      </c>
      <c r="H222" t="str">
        <f>Source!H326</f>
        <v>м</v>
      </c>
      <c r="I222">
        <f>Source!I326</f>
        <v>40</v>
      </c>
      <c r="J222">
        <v>1</v>
      </c>
      <c r="K222">
        <f>Source!AC326</f>
        <v>93.17</v>
      </c>
      <c r="M222">
        <f>ROUND(K222*I222, 2)</f>
        <v>3726.8</v>
      </c>
      <c r="N222">
        <f>Source!AC326*IF(Source!BC326&lt;&gt; 0, Source!BC326, 1)</f>
        <v>678.27760000000001</v>
      </c>
      <c r="O222">
        <f>ROUND(N222*I222, 2)</f>
        <v>27131.1</v>
      </c>
      <c r="P222">
        <f>Source!AE326</f>
        <v>0</v>
      </c>
      <c r="R222">
        <f>ROUND(P222*I222, 2)</f>
        <v>0</v>
      </c>
      <c r="S222">
        <f>Source!AE326*IF(Source!BS326&lt;&gt; 0, Source!BS326, 1)</f>
        <v>0</v>
      </c>
      <c r="T222">
        <f>ROUND(S222*I222, 2)</f>
        <v>0</v>
      </c>
      <c r="U222">
        <v>3</v>
      </c>
      <c r="Z222">
        <f>Source!GF326</f>
        <v>681697446</v>
      </c>
      <c r="AA222">
        <v>2020083766</v>
      </c>
      <c r="AB222">
        <v>-717011946</v>
      </c>
    </row>
    <row r="223" spans="1:28" x14ac:dyDescent="0.2">
      <c r="A223">
        <f>Source!A327</f>
        <v>17</v>
      </c>
      <c r="B223">
        <v>327</v>
      </c>
      <c r="C223">
        <v>3</v>
      </c>
      <c r="D223">
        <f>Source!BI327</f>
        <v>1</v>
      </c>
      <c r="E223">
        <f>Source!FS327</f>
        <v>0</v>
      </c>
      <c r="F223" t="str">
        <f>Source!F327</f>
        <v>401-0066</v>
      </c>
      <c r="G223" t="str">
        <f>Source!G327</f>
        <v>Бетон тяжелый, крупность заполнителя 20 мм, класс В15 (М200)</v>
      </c>
      <c r="H223" t="str">
        <f>Source!H327</f>
        <v>м3</v>
      </c>
      <c r="I223">
        <f>Source!I327</f>
        <v>0.63400000000000001</v>
      </c>
      <c r="J223">
        <v>1</v>
      </c>
      <c r="K223">
        <f>Source!AC327</f>
        <v>633</v>
      </c>
      <c r="M223">
        <f>ROUND(K223*I223, 2)</f>
        <v>401.32</v>
      </c>
      <c r="N223">
        <f>Source!AC327*IF(Source!BC327&lt;&gt; 0, Source!BC327, 1)</f>
        <v>7064.28</v>
      </c>
      <c r="O223">
        <f>ROUND(N223*I223, 2)</f>
        <v>4478.75</v>
      </c>
      <c r="P223">
        <f>Source!AE327</f>
        <v>0</v>
      </c>
      <c r="R223">
        <f>ROUND(P223*I223, 2)</f>
        <v>0</v>
      </c>
      <c r="S223">
        <f>Source!AE327*IF(Source!BS327&lt;&gt; 0, Source!BS327, 1)</f>
        <v>0</v>
      </c>
      <c r="T223">
        <f>ROUND(S223*I223, 2)</f>
        <v>0</v>
      </c>
      <c r="U223">
        <v>3</v>
      </c>
      <c r="Z223">
        <f>Source!GF327</f>
        <v>-1056028514</v>
      </c>
      <c r="AA223">
        <v>1831398067</v>
      </c>
      <c r="AB223">
        <v>735632363</v>
      </c>
    </row>
    <row r="224" spans="1:28" x14ac:dyDescent="0.2">
      <c r="A224">
        <v>20</v>
      </c>
      <c r="B224">
        <v>314</v>
      </c>
      <c r="C224">
        <v>3</v>
      </c>
      <c r="D224">
        <v>0</v>
      </c>
      <c r="E224">
        <f>SmtRes!AV314</f>
        <v>0</v>
      </c>
      <c r="F224" t="str">
        <f>SmtRes!I314</f>
        <v>508-0097</v>
      </c>
      <c r="G224" t="str">
        <f>SmtRes!K314</f>
        <v>Канат двойной свивки типа ТК, конструкции 6х19(1+6+12)+1 о.с., оцинкованный из проволок марки В, маркировочная группа 1770 н/мм2, диаметром 5,5 мм</v>
      </c>
      <c r="H224" t="str">
        <f>SmtRes!O314</f>
        <v>10 м</v>
      </c>
      <c r="I224">
        <f>SmtRes!Y314*Source!I328</f>
        <v>5.445440000000001E-3</v>
      </c>
      <c r="J224">
        <f>SmtRes!AO314</f>
        <v>1</v>
      </c>
      <c r="K224">
        <f>SmtRes!AE314</f>
        <v>71.5</v>
      </c>
      <c r="L224">
        <f>SmtRes!DB314</f>
        <v>1.34</v>
      </c>
      <c r="M224">
        <f>ROUND(ROUND(L224*Source!I328, 2)*1, 2)</f>
        <v>0.39</v>
      </c>
      <c r="N224">
        <f>SmtRes!AA314</f>
        <v>251.68</v>
      </c>
      <c r="O224">
        <f>ROUND(ROUND(L224*Source!I328, 2)*SmtRes!DA314, 2)</f>
        <v>1.37</v>
      </c>
      <c r="P224">
        <f>SmtRes!AG314</f>
        <v>0</v>
      </c>
      <c r="Q224">
        <f>SmtRes!DC314</f>
        <v>0</v>
      </c>
      <c r="R224">
        <f>ROUND(ROUND(Q224*Source!I328, 2)*1, 2)</f>
        <v>0</v>
      </c>
      <c r="S224">
        <f>SmtRes!AC314</f>
        <v>0</v>
      </c>
      <c r="T224">
        <f>ROUND(ROUND(Q224*Source!I328, 2)*SmtRes!AK314, 2)</f>
        <v>0</v>
      </c>
      <c r="U224">
        <v>3</v>
      </c>
      <c r="Z224">
        <f>SmtRes!X314</f>
        <v>-802941189</v>
      </c>
      <c r="AA224">
        <v>233119458</v>
      </c>
      <c r="AB224">
        <v>682266845</v>
      </c>
    </row>
    <row r="225" spans="1:28" x14ac:dyDescent="0.2">
      <c r="A225">
        <v>20</v>
      </c>
      <c r="B225">
        <v>312</v>
      </c>
      <c r="C225">
        <v>3</v>
      </c>
      <c r="D225">
        <v>0</v>
      </c>
      <c r="E225">
        <f>SmtRes!AV312</f>
        <v>0</v>
      </c>
      <c r="F225" t="str">
        <f>SmtRes!I312</f>
        <v>201-0756</v>
      </c>
      <c r="G225" t="str">
        <f>SmtRes!K312</f>
        <v>Отдельные конструктивные элементы зданий и сооружений с преобладанием горячекатаных профилей, средняя масса сборочной единицы от 0,1 до 0,5 т</v>
      </c>
      <c r="H225" t="str">
        <f>SmtRes!O312</f>
        <v>т</v>
      </c>
      <c r="I225">
        <f>SmtRes!Y312*Source!I328</f>
        <v>2.9120000000000002E-5</v>
      </c>
      <c r="J225">
        <f>SmtRes!AO312</f>
        <v>1</v>
      </c>
      <c r="K225">
        <f>SmtRes!AE312</f>
        <v>7712</v>
      </c>
      <c r="L225">
        <f>SmtRes!DB312</f>
        <v>0.77</v>
      </c>
      <c r="M225">
        <f>ROUND(ROUND(L225*Source!I328, 2)*1, 2)</f>
        <v>0.22</v>
      </c>
      <c r="N225">
        <f>SmtRes!AA312</f>
        <v>119227.52</v>
      </c>
      <c r="O225">
        <f>ROUND(ROUND(L225*Source!I328, 2)*SmtRes!DA312, 2)</f>
        <v>3.4</v>
      </c>
      <c r="P225">
        <f>SmtRes!AG312</f>
        <v>0</v>
      </c>
      <c r="Q225">
        <f>SmtRes!DC312</f>
        <v>0</v>
      </c>
      <c r="R225">
        <f>ROUND(ROUND(Q225*Source!I328, 2)*1, 2)</f>
        <v>0</v>
      </c>
      <c r="S225">
        <f>SmtRes!AC312</f>
        <v>0</v>
      </c>
      <c r="T225">
        <f>ROUND(ROUND(Q225*Source!I328, 2)*SmtRes!AK312, 2)</f>
        <v>0</v>
      </c>
      <c r="U225">
        <v>3</v>
      </c>
      <c r="Z225">
        <f>SmtRes!X312</f>
        <v>1152755346</v>
      </c>
      <c r="AA225">
        <v>-527851369</v>
      </c>
      <c r="AB225">
        <v>161394910</v>
      </c>
    </row>
    <row r="226" spans="1:28" x14ac:dyDescent="0.2">
      <c r="A226">
        <v>20</v>
      </c>
      <c r="B226">
        <v>311</v>
      </c>
      <c r="C226">
        <v>3</v>
      </c>
      <c r="D226">
        <v>0</v>
      </c>
      <c r="E226">
        <f>SmtRes!AV311</f>
        <v>0</v>
      </c>
      <c r="F226" t="str">
        <f>SmtRes!I311</f>
        <v>113-0021</v>
      </c>
      <c r="G226" t="str">
        <f>SmtRes!K311</f>
        <v>Грунтовка ГФ-021 красно-коричневая</v>
      </c>
      <c r="H226" t="str">
        <f>SmtRes!O311</f>
        <v>т</v>
      </c>
      <c r="I226">
        <f>SmtRes!Y311*Source!I328</f>
        <v>9.0272000000000006E-5</v>
      </c>
      <c r="J226">
        <f>SmtRes!AO311</f>
        <v>1</v>
      </c>
      <c r="K226">
        <f>SmtRes!AE311</f>
        <v>15620</v>
      </c>
      <c r="L226">
        <f>SmtRes!DB311</f>
        <v>4.84</v>
      </c>
      <c r="M226">
        <f>ROUND(ROUND(L226*Source!I328, 2)*1, 2)</f>
        <v>1.41</v>
      </c>
      <c r="N226">
        <f>SmtRes!AA311</f>
        <v>80130.600000000006</v>
      </c>
      <c r="O226">
        <f>ROUND(ROUND(L226*Source!I328, 2)*SmtRes!DA311, 2)</f>
        <v>7.23</v>
      </c>
      <c r="P226">
        <f>SmtRes!AG311</f>
        <v>0</v>
      </c>
      <c r="Q226">
        <f>SmtRes!DC311</f>
        <v>0</v>
      </c>
      <c r="R226">
        <f>ROUND(ROUND(Q226*Source!I328, 2)*1, 2)</f>
        <v>0</v>
      </c>
      <c r="S226">
        <f>SmtRes!AC311</f>
        <v>0</v>
      </c>
      <c r="T226">
        <f>ROUND(ROUND(Q226*Source!I328, 2)*SmtRes!AK311, 2)</f>
        <v>0</v>
      </c>
      <c r="U226">
        <v>3</v>
      </c>
      <c r="Z226">
        <f>SmtRes!X311</f>
        <v>-763406924</v>
      </c>
      <c r="AA226">
        <v>-232389014</v>
      </c>
      <c r="AB226">
        <v>-1628321020</v>
      </c>
    </row>
    <row r="227" spans="1:28" x14ac:dyDescent="0.2">
      <c r="A227">
        <v>20</v>
      </c>
      <c r="B227">
        <v>310</v>
      </c>
      <c r="C227">
        <v>3</v>
      </c>
      <c r="D227">
        <v>0</v>
      </c>
      <c r="E227">
        <f>SmtRes!AV310</f>
        <v>0</v>
      </c>
      <c r="F227" t="str">
        <f>SmtRes!I310</f>
        <v>102-0023</v>
      </c>
      <c r="G227" t="str">
        <f>SmtRes!K310</f>
        <v>Бруски обрезные хвойных пород длиной 4-6,5 м, шириной 75-150 мм, толщиной 40-75 мм, I сорта</v>
      </c>
      <c r="H227" t="str">
        <f>SmtRes!O310</f>
        <v>м3</v>
      </c>
      <c r="I227">
        <f>SmtRes!Y310*Source!I328</f>
        <v>2.9993600000000005E-4</v>
      </c>
      <c r="J227">
        <f>SmtRes!AO310</f>
        <v>1</v>
      </c>
      <c r="K227">
        <f>SmtRes!AE310</f>
        <v>1421</v>
      </c>
      <c r="L227">
        <f>SmtRes!DB310</f>
        <v>1.46</v>
      </c>
      <c r="M227">
        <f>ROUND(ROUND(L227*Source!I328, 2)*1, 2)</f>
        <v>0.43</v>
      </c>
      <c r="N227">
        <f>SmtRes!AA310</f>
        <v>18572.47</v>
      </c>
      <c r="O227">
        <f>ROUND(ROUND(L227*Source!I328, 2)*SmtRes!DA310, 2)</f>
        <v>5.62</v>
      </c>
      <c r="P227">
        <f>SmtRes!AG310</f>
        <v>0</v>
      </c>
      <c r="Q227">
        <f>SmtRes!DC310</f>
        <v>0</v>
      </c>
      <c r="R227">
        <f>ROUND(ROUND(Q227*Source!I328, 2)*1, 2)</f>
        <v>0</v>
      </c>
      <c r="S227">
        <f>SmtRes!AC310</f>
        <v>0</v>
      </c>
      <c r="T227">
        <f>ROUND(ROUND(Q227*Source!I328, 2)*SmtRes!AK310, 2)</f>
        <v>0</v>
      </c>
      <c r="U227">
        <v>3</v>
      </c>
      <c r="Z227">
        <f>SmtRes!X310</f>
        <v>579634616</v>
      </c>
      <c r="AA227">
        <v>-149810444</v>
      </c>
      <c r="AB227">
        <v>-1697308160</v>
      </c>
    </row>
    <row r="228" spans="1:28" x14ac:dyDescent="0.2">
      <c r="A228">
        <v>20</v>
      </c>
      <c r="B228">
        <v>309</v>
      </c>
      <c r="C228">
        <v>3</v>
      </c>
      <c r="D228">
        <v>0</v>
      </c>
      <c r="E228">
        <f>SmtRes!AV309</f>
        <v>0</v>
      </c>
      <c r="F228" t="str">
        <f>SmtRes!I309</f>
        <v>101-2467</v>
      </c>
      <c r="G228" t="str">
        <f>SmtRes!K309</f>
        <v>Растворитель марки Р-4</v>
      </c>
      <c r="H228" t="str">
        <f>SmtRes!O309</f>
        <v>т</v>
      </c>
      <c r="I228">
        <f>SmtRes!Y309*Source!I328</f>
        <v>1.7471999999999998E-4</v>
      </c>
      <c r="J228">
        <f>SmtRes!AO309</f>
        <v>1</v>
      </c>
      <c r="K228">
        <f>SmtRes!AE309</f>
        <v>9420</v>
      </c>
      <c r="L228">
        <f>SmtRes!DB309</f>
        <v>5.65</v>
      </c>
      <c r="M228">
        <f>ROUND(ROUND(L228*Source!I328, 2)*1, 2)</f>
        <v>1.65</v>
      </c>
      <c r="N228">
        <f>SmtRes!AA309</f>
        <v>72063</v>
      </c>
      <c r="O228">
        <f>ROUND(ROUND(L228*Source!I328, 2)*SmtRes!DA309, 2)</f>
        <v>12.62</v>
      </c>
      <c r="P228">
        <f>SmtRes!AG309</f>
        <v>0</v>
      </c>
      <c r="Q228">
        <f>SmtRes!DC309</f>
        <v>0</v>
      </c>
      <c r="R228">
        <f>ROUND(ROUND(Q228*Source!I328, 2)*1, 2)</f>
        <v>0</v>
      </c>
      <c r="S228">
        <f>SmtRes!AC309</f>
        <v>0</v>
      </c>
      <c r="T228">
        <f>ROUND(ROUND(Q228*Source!I328, 2)*SmtRes!AK309, 2)</f>
        <v>0</v>
      </c>
      <c r="U228">
        <v>3</v>
      </c>
      <c r="Z228">
        <f>SmtRes!X309</f>
        <v>-250432139</v>
      </c>
      <c r="AA228">
        <v>1739873944</v>
      </c>
      <c r="AB228">
        <v>1068711965</v>
      </c>
    </row>
    <row r="229" spans="1:28" x14ac:dyDescent="0.2">
      <c r="A229">
        <v>20</v>
      </c>
      <c r="B229">
        <v>308</v>
      </c>
      <c r="C229">
        <v>3</v>
      </c>
      <c r="D229">
        <v>0</v>
      </c>
      <c r="E229">
        <f>SmtRes!AV308</f>
        <v>0</v>
      </c>
      <c r="F229" t="str">
        <f>SmtRes!I308</f>
        <v>101-2278</v>
      </c>
      <c r="G229" t="str">
        <f>SmtRes!K308</f>
        <v>Пропан-бутан, смесь техническая</v>
      </c>
      <c r="H229" t="str">
        <f>SmtRes!O308</f>
        <v>кг</v>
      </c>
      <c r="I229">
        <f>SmtRes!Y308*Source!I328</f>
        <v>4.3680000000000004E-2</v>
      </c>
      <c r="J229">
        <f>SmtRes!AO308</f>
        <v>1</v>
      </c>
      <c r="K229">
        <f>SmtRes!AE308</f>
        <v>6.62</v>
      </c>
      <c r="L229">
        <f>SmtRes!DB308</f>
        <v>0.99</v>
      </c>
      <c r="M229">
        <f>ROUND(ROUND(L229*Source!I328, 2)*1, 2)</f>
        <v>0.28999999999999998</v>
      </c>
      <c r="N229">
        <f>SmtRes!AA308</f>
        <v>53.09</v>
      </c>
      <c r="O229">
        <f>ROUND(ROUND(L229*Source!I328, 2)*SmtRes!DA308, 2)</f>
        <v>2.33</v>
      </c>
      <c r="P229">
        <f>SmtRes!AG308</f>
        <v>0</v>
      </c>
      <c r="Q229">
        <f>SmtRes!DC308</f>
        <v>0</v>
      </c>
      <c r="R229">
        <f>ROUND(ROUND(Q229*Source!I328, 2)*1, 2)</f>
        <v>0</v>
      </c>
      <c r="S229">
        <f>SmtRes!AC308</f>
        <v>0</v>
      </c>
      <c r="T229">
        <f>ROUND(ROUND(Q229*Source!I328, 2)*SmtRes!AK308, 2)</f>
        <v>0</v>
      </c>
      <c r="U229">
        <v>3</v>
      </c>
      <c r="Z229">
        <f>SmtRes!X308</f>
        <v>873943321</v>
      </c>
      <c r="AA229">
        <v>-395631024</v>
      </c>
      <c r="AB229">
        <v>1803414858</v>
      </c>
    </row>
    <row r="230" spans="1:28" x14ac:dyDescent="0.2">
      <c r="A230">
        <v>20</v>
      </c>
      <c r="B230">
        <v>307</v>
      </c>
      <c r="C230">
        <v>3</v>
      </c>
      <c r="D230">
        <v>0</v>
      </c>
      <c r="E230">
        <f>SmtRes!AV307</f>
        <v>0</v>
      </c>
      <c r="F230" t="str">
        <f>SmtRes!I307</f>
        <v>101-1805</v>
      </c>
      <c r="G230" t="str">
        <f>SmtRes!K307</f>
        <v>Гвозди строительные</v>
      </c>
      <c r="H230" t="str">
        <f>SmtRes!O307</f>
        <v>т</v>
      </c>
      <c r="I230">
        <f>SmtRes!Y307*Source!I328</f>
        <v>2.9120000000000002E-6</v>
      </c>
      <c r="J230">
        <f>SmtRes!AO307</f>
        <v>1</v>
      </c>
      <c r="K230">
        <f>SmtRes!AE307</f>
        <v>12936</v>
      </c>
      <c r="L230">
        <f>SmtRes!DB307</f>
        <v>0.13</v>
      </c>
      <c r="M230">
        <f>ROUND(ROUND(L230*Source!I328, 2)*1, 2)</f>
        <v>0.04</v>
      </c>
      <c r="N230">
        <f>SmtRes!AA307</f>
        <v>111120.24</v>
      </c>
      <c r="O230">
        <f>ROUND(ROUND(L230*Source!I328, 2)*SmtRes!DA307, 2)</f>
        <v>0.34</v>
      </c>
      <c r="P230">
        <f>SmtRes!AG307</f>
        <v>0</v>
      </c>
      <c r="Q230">
        <f>SmtRes!DC307</f>
        <v>0</v>
      </c>
      <c r="R230">
        <f>ROUND(ROUND(Q230*Source!I328, 2)*1, 2)</f>
        <v>0</v>
      </c>
      <c r="S230">
        <f>SmtRes!AC307</f>
        <v>0</v>
      </c>
      <c r="T230">
        <f>ROUND(ROUND(Q230*Source!I328, 2)*SmtRes!AK307, 2)</f>
        <v>0</v>
      </c>
      <c r="U230">
        <v>3</v>
      </c>
      <c r="Z230">
        <f>SmtRes!X307</f>
        <v>-667930777</v>
      </c>
      <c r="AA230">
        <v>73813288</v>
      </c>
      <c r="AB230">
        <v>1198263553</v>
      </c>
    </row>
    <row r="231" spans="1:28" x14ac:dyDescent="0.2">
      <c r="A231">
        <v>20</v>
      </c>
      <c r="B231">
        <v>306</v>
      </c>
      <c r="C231">
        <v>3</v>
      </c>
      <c r="D231">
        <v>0</v>
      </c>
      <c r="E231">
        <f>SmtRes!AV306</f>
        <v>0</v>
      </c>
      <c r="F231" t="str">
        <f>SmtRes!I306</f>
        <v>101-1714</v>
      </c>
      <c r="G231" t="str">
        <f>SmtRes!K306</f>
        <v>Болты с гайками и шайбами строительные</v>
      </c>
      <c r="H231" t="str">
        <f>SmtRes!O306</f>
        <v>т</v>
      </c>
      <c r="I231">
        <f>SmtRes!Y306*Source!I328</f>
        <v>8.7360000000000009E-4</v>
      </c>
      <c r="J231">
        <f>SmtRes!AO306</f>
        <v>1</v>
      </c>
      <c r="K231">
        <f>SmtRes!AE306</f>
        <v>9040.01</v>
      </c>
      <c r="L231">
        <f>SmtRes!DB306</f>
        <v>27.12</v>
      </c>
      <c r="M231">
        <f>ROUND(ROUND(L231*Source!I328, 2)*1, 2)</f>
        <v>7.9</v>
      </c>
      <c r="N231">
        <f>SmtRes!AA306</f>
        <v>208824.23</v>
      </c>
      <c r="O231">
        <f>ROUND(ROUND(L231*Source!I328, 2)*SmtRes!DA306, 2)</f>
        <v>182.49</v>
      </c>
      <c r="P231">
        <f>SmtRes!AG306</f>
        <v>0</v>
      </c>
      <c r="Q231">
        <f>SmtRes!DC306</f>
        <v>0</v>
      </c>
      <c r="R231">
        <f>ROUND(ROUND(Q231*Source!I328, 2)*1, 2)</f>
        <v>0</v>
      </c>
      <c r="S231">
        <f>SmtRes!AC306</f>
        <v>0</v>
      </c>
      <c r="T231">
        <f>ROUND(ROUND(Q231*Source!I328, 2)*SmtRes!AK306, 2)</f>
        <v>0</v>
      </c>
      <c r="U231">
        <v>3</v>
      </c>
      <c r="Z231">
        <f>SmtRes!X306</f>
        <v>-384985709</v>
      </c>
      <c r="AA231">
        <v>1357882990</v>
      </c>
      <c r="AB231">
        <v>328055112</v>
      </c>
    </row>
    <row r="232" spans="1:28" x14ac:dyDescent="0.2">
      <c r="A232">
        <v>20</v>
      </c>
      <c r="B232">
        <v>305</v>
      </c>
      <c r="C232">
        <v>3</v>
      </c>
      <c r="D232">
        <v>0</v>
      </c>
      <c r="E232">
        <f>SmtRes!AV305</f>
        <v>0</v>
      </c>
      <c r="F232" t="str">
        <f>SmtRes!I305</f>
        <v>101-1513</v>
      </c>
      <c r="G232" t="str">
        <f>SmtRes!K305</f>
        <v>Электроды диаметром 4 мм Э42</v>
      </c>
      <c r="H232" t="str">
        <f>SmtRes!O305</f>
        <v>т</v>
      </c>
      <c r="I232">
        <f>SmtRes!Y305*Source!I328</f>
        <v>7.5712000000000002E-4</v>
      </c>
      <c r="J232">
        <f>SmtRes!AO305</f>
        <v>1</v>
      </c>
      <c r="K232">
        <f>SmtRes!AE305</f>
        <v>9750</v>
      </c>
      <c r="L232">
        <f>SmtRes!DB305</f>
        <v>25.35</v>
      </c>
      <c r="M232">
        <f>ROUND(ROUND(L232*Source!I328, 2)*1, 2)</f>
        <v>7.38</v>
      </c>
      <c r="N232">
        <f>SmtRes!AA305</f>
        <v>119730</v>
      </c>
      <c r="O232">
        <f>ROUND(ROUND(L232*Source!I328, 2)*SmtRes!DA305, 2)</f>
        <v>90.63</v>
      </c>
      <c r="P232">
        <f>SmtRes!AG305</f>
        <v>0</v>
      </c>
      <c r="Q232">
        <f>SmtRes!DC305</f>
        <v>0</v>
      </c>
      <c r="R232">
        <f>ROUND(ROUND(Q232*Source!I328, 2)*1, 2)</f>
        <v>0</v>
      </c>
      <c r="S232">
        <f>SmtRes!AC305</f>
        <v>0</v>
      </c>
      <c r="T232">
        <f>ROUND(ROUND(Q232*Source!I328, 2)*SmtRes!AK305, 2)</f>
        <v>0</v>
      </c>
      <c r="U232">
        <v>3</v>
      </c>
      <c r="Z232">
        <f>SmtRes!X305</f>
        <v>1483167196</v>
      </c>
      <c r="AA232">
        <v>1048653327</v>
      </c>
      <c r="AB232">
        <v>1673140179</v>
      </c>
    </row>
    <row r="233" spans="1:28" x14ac:dyDescent="0.2">
      <c r="A233">
        <v>20</v>
      </c>
      <c r="B233">
        <v>304</v>
      </c>
      <c r="C233">
        <v>3</v>
      </c>
      <c r="D233">
        <v>0</v>
      </c>
      <c r="E233">
        <f>SmtRes!AV304</f>
        <v>0</v>
      </c>
      <c r="F233" t="str">
        <f>SmtRes!I304</f>
        <v>101-1019</v>
      </c>
      <c r="G233" t="str">
        <f>SmtRes!K304</f>
        <v>Швеллеры № 40 из стали марки Ст0</v>
      </c>
      <c r="H233" t="str">
        <f>SmtRes!O304</f>
        <v>т</v>
      </c>
      <c r="I233">
        <f>SmtRes!Y304*Source!I328</f>
        <v>5.6492800000000002E-4</v>
      </c>
      <c r="J233">
        <f>SmtRes!AO304</f>
        <v>1</v>
      </c>
      <c r="K233">
        <f>SmtRes!AE304</f>
        <v>5191</v>
      </c>
      <c r="L233">
        <f>SmtRes!DB304</f>
        <v>10.07</v>
      </c>
      <c r="M233">
        <f>ROUND(ROUND(L233*Source!I328, 2)*1, 2)</f>
        <v>2.93</v>
      </c>
      <c r="N233">
        <f>SmtRes!AA304</f>
        <v>72674</v>
      </c>
      <c r="O233">
        <f>ROUND(ROUND(L233*Source!I328, 2)*SmtRes!DA304, 2)</f>
        <v>41.02</v>
      </c>
      <c r="P233">
        <f>SmtRes!AG304</f>
        <v>0</v>
      </c>
      <c r="Q233">
        <f>SmtRes!DC304</f>
        <v>0</v>
      </c>
      <c r="R233">
        <f>ROUND(ROUND(Q233*Source!I328, 2)*1, 2)</f>
        <v>0</v>
      </c>
      <c r="S233">
        <f>SmtRes!AC304</f>
        <v>0</v>
      </c>
      <c r="T233">
        <f>ROUND(ROUND(Q233*Source!I328, 2)*SmtRes!AK304, 2)</f>
        <v>0</v>
      </c>
      <c r="U233">
        <v>3</v>
      </c>
      <c r="Z233">
        <f>SmtRes!X304</f>
        <v>-833443196</v>
      </c>
      <c r="AA233">
        <v>478577553</v>
      </c>
      <c r="AB233">
        <v>-376595282</v>
      </c>
    </row>
    <row r="234" spans="1:28" x14ac:dyDescent="0.2">
      <c r="A234">
        <v>20</v>
      </c>
      <c r="B234">
        <v>303</v>
      </c>
      <c r="C234">
        <v>3</v>
      </c>
      <c r="D234">
        <v>0</v>
      </c>
      <c r="E234">
        <f>SmtRes!AV303</f>
        <v>0</v>
      </c>
      <c r="F234" t="str">
        <f>SmtRes!I303</f>
        <v>101-0797</v>
      </c>
      <c r="G234" t="str">
        <f>SmtRes!K303</f>
        <v>Проволока горячекатаная в мотках, диаметром 6,3-6,5 мм</v>
      </c>
      <c r="H234" t="str">
        <f>SmtRes!O303</f>
        <v>т</v>
      </c>
      <c r="I234">
        <f>SmtRes!Y303*Source!I328</f>
        <v>8.7360000000000007E-6</v>
      </c>
      <c r="J234">
        <f>SmtRes!AO303</f>
        <v>1</v>
      </c>
      <c r="K234">
        <f>SmtRes!AE303</f>
        <v>4455</v>
      </c>
      <c r="L234">
        <f>SmtRes!DB303</f>
        <v>0.13</v>
      </c>
      <c r="M234">
        <f>ROUND(ROUND(L234*Source!I328, 2)*1, 2)</f>
        <v>0.04</v>
      </c>
      <c r="N234">
        <f>SmtRes!AA303</f>
        <v>31452.3</v>
      </c>
      <c r="O234">
        <f>ROUND(ROUND(L234*Source!I328, 2)*SmtRes!DA303, 2)</f>
        <v>0.28000000000000003</v>
      </c>
      <c r="P234">
        <f>SmtRes!AG303</f>
        <v>0</v>
      </c>
      <c r="Q234">
        <f>SmtRes!DC303</f>
        <v>0</v>
      </c>
      <c r="R234">
        <f>ROUND(ROUND(Q234*Source!I328, 2)*1, 2)</f>
        <v>0</v>
      </c>
      <c r="S234">
        <f>SmtRes!AC303</f>
        <v>0</v>
      </c>
      <c r="T234">
        <f>ROUND(ROUND(Q234*Source!I328, 2)*SmtRes!AK303, 2)</f>
        <v>0</v>
      </c>
      <c r="U234">
        <v>3</v>
      </c>
      <c r="Z234">
        <f>SmtRes!X303</f>
        <v>1941264678</v>
      </c>
      <c r="AA234">
        <v>376479924</v>
      </c>
      <c r="AB234">
        <v>-456759606</v>
      </c>
    </row>
    <row r="235" spans="1:28" x14ac:dyDescent="0.2">
      <c r="A235">
        <v>20</v>
      </c>
      <c r="B235">
        <v>302</v>
      </c>
      <c r="C235">
        <v>3</v>
      </c>
      <c r="D235">
        <v>0</v>
      </c>
      <c r="E235">
        <f>SmtRes!AV302</f>
        <v>0</v>
      </c>
      <c r="F235" t="str">
        <f>SmtRes!I302</f>
        <v>101-0324</v>
      </c>
      <c r="G235" t="str">
        <f>SmtRes!K302</f>
        <v>Кислород технический газообразный</v>
      </c>
      <c r="H235" t="str">
        <f>SmtRes!O302</f>
        <v>м3</v>
      </c>
      <c r="I235">
        <f>SmtRes!Y302*Source!I328</f>
        <v>0.14560000000000001</v>
      </c>
      <c r="J235">
        <f>SmtRes!AO302</f>
        <v>1</v>
      </c>
      <c r="K235">
        <f>SmtRes!AE302</f>
        <v>6.22</v>
      </c>
      <c r="L235">
        <f>SmtRes!DB302</f>
        <v>3.11</v>
      </c>
      <c r="M235">
        <f>ROUND(ROUND(L235*Source!I328, 2)*1, 2)</f>
        <v>0.91</v>
      </c>
      <c r="N235">
        <f>SmtRes!AA302</f>
        <v>118.62</v>
      </c>
      <c r="O235">
        <f>ROUND(ROUND(L235*Source!I328, 2)*SmtRes!DA302, 2)</f>
        <v>17.350000000000001</v>
      </c>
      <c r="P235">
        <f>SmtRes!AG302</f>
        <v>0</v>
      </c>
      <c r="Q235">
        <f>SmtRes!DC302</f>
        <v>0</v>
      </c>
      <c r="R235">
        <f>ROUND(ROUND(Q235*Source!I328, 2)*1, 2)</f>
        <v>0</v>
      </c>
      <c r="S235">
        <f>SmtRes!AC302</f>
        <v>0</v>
      </c>
      <c r="T235">
        <f>ROUND(ROUND(Q235*Source!I328, 2)*SmtRes!AK302, 2)</f>
        <v>0</v>
      </c>
      <c r="U235">
        <v>3</v>
      </c>
      <c r="Z235">
        <f>SmtRes!X302</f>
        <v>-821751618</v>
      </c>
      <c r="AA235">
        <v>2128337316</v>
      </c>
      <c r="AB235">
        <v>-1112411388</v>
      </c>
    </row>
    <row r="236" spans="1:28" x14ac:dyDescent="0.2">
      <c r="A236">
        <v>20</v>
      </c>
      <c r="B236">
        <v>301</v>
      </c>
      <c r="C236">
        <v>3</v>
      </c>
      <c r="D236">
        <v>0</v>
      </c>
      <c r="E236">
        <f>SmtRes!AV301</f>
        <v>0</v>
      </c>
      <c r="F236" t="str">
        <f>SmtRes!I301</f>
        <v>101-0309</v>
      </c>
      <c r="G236" t="str">
        <f>SmtRes!K301</f>
        <v>Канаты пеньковые пропитанные</v>
      </c>
      <c r="H236" t="str">
        <f>SmtRes!O301</f>
        <v>т</v>
      </c>
      <c r="I236">
        <f>SmtRes!Y301*Source!I328</f>
        <v>2.9120000000000002E-5</v>
      </c>
      <c r="J236">
        <f>SmtRes!AO301</f>
        <v>1</v>
      </c>
      <c r="K236">
        <f>SmtRes!AE301</f>
        <v>37900</v>
      </c>
      <c r="L236">
        <f>SmtRes!DB301</f>
        <v>3.79</v>
      </c>
      <c r="M236">
        <f>ROUND(ROUND(L236*Source!I328, 2)*1, 2)</f>
        <v>1.1000000000000001</v>
      </c>
      <c r="N236">
        <f>SmtRes!AA301</f>
        <v>231948</v>
      </c>
      <c r="O236">
        <f>ROUND(ROUND(L236*Source!I328, 2)*SmtRes!DA301, 2)</f>
        <v>6.73</v>
      </c>
      <c r="P236">
        <f>SmtRes!AG301</f>
        <v>0</v>
      </c>
      <c r="Q236">
        <f>SmtRes!DC301</f>
        <v>0</v>
      </c>
      <c r="R236">
        <f>ROUND(ROUND(Q236*Source!I328, 2)*1, 2)</f>
        <v>0</v>
      </c>
      <c r="S236">
        <f>SmtRes!AC301</f>
        <v>0</v>
      </c>
      <c r="T236">
        <f>ROUND(ROUND(Q236*Source!I328, 2)*SmtRes!AK301, 2)</f>
        <v>0</v>
      </c>
      <c r="U236">
        <v>3</v>
      </c>
      <c r="Z236">
        <f>SmtRes!X301</f>
        <v>-1280064888</v>
      </c>
      <c r="AA236">
        <v>-863405888</v>
      </c>
      <c r="AB236">
        <v>1686556190</v>
      </c>
    </row>
    <row r="237" spans="1:28" x14ac:dyDescent="0.2">
      <c r="A237">
        <v>20</v>
      </c>
      <c r="B237">
        <v>300</v>
      </c>
      <c r="C237">
        <v>2</v>
      </c>
      <c r="D237">
        <v>0</v>
      </c>
      <c r="E237">
        <f>SmtRes!AV300</f>
        <v>0</v>
      </c>
      <c r="F237" t="str">
        <f>SmtRes!I300</f>
        <v>400001</v>
      </c>
      <c r="G237" t="str">
        <f>SmtRes!K300</f>
        <v>Автомобили бортовые, грузоподъемность до 5 т</v>
      </c>
      <c r="H237" t="str">
        <f>SmtRes!O300</f>
        <v>маш.-ч</v>
      </c>
      <c r="I237">
        <f>SmtRes!Y300*Source!I328</f>
        <v>5.5328000000000002E-2</v>
      </c>
      <c r="J237">
        <f>SmtRes!AO300</f>
        <v>1</v>
      </c>
      <c r="K237">
        <f>SmtRes!AF300</f>
        <v>91.76</v>
      </c>
      <c r="L237">
        <f>SmtRes!DB300</f>
        <v>17.43</v>
      </c>
      <c r="M237">
        <f>ROUND(ROUND(L237*Source!I328, 2)*1, 2)</f>
        <v>5.08</v>
      </c>
      <c r="N237">
        <f>SmtRes!AB300</f>
        <v>1305.74</v>
      </c>
      <c r="O237">
        <f>ROUND(ROUND(L237*Source!I328, 2)*SmtRes!DA300, 2)</f>
        <v>72.290000000000006</v>
      </c>
      <c r="P237">
        <f>SmtRes!AG300</f>
        <v>10.35</v>
      </c>
      <c r="Q237">
        <f>SmtRes!DC300</f>
        <v>1.97</v>
      </c>
      <c r="R237">
        <f>ROUND(ROUND(Q237*Source!I328, 2)*1, 2)</f>
        <v>0.56999999999999995</v>
      </c>
      <c r="S237">
        <f>SmtRes!AC300</f>
        <v>365.04</v>
      </c>
      <c r="T237">
        <f>ROUND(ROUND(Q237*Source!I328, 2)*SmtRes!AK300, 2)</f>
        <v>20.100000000000001</v>
      </c>
      <c r="U237">
        <v>2</v>
      </c>
      <c r="Z237">
        <f>SmtRes!X300</f>
        <v>-671646184</v>
      </c>
      <c r="AA237">
        <v>807713937</v>
      </c>
      <c r="AB237">
        <v>1619992053</v>
      </c>
    </row>
    <row r="238" spans="1:28" x14ac:dyDescent="0.2">
      <c r="A238">
        <v>20</v>
      </c>
      <c r="B238">
        <v>299</v>
      </c>
      <c r="C238">
        <v>2</v>
      </c>
      <c r="D238">
        <v>0</v>
      </c>
      <c r="E238">
        <f>SmtRes!AV299</f>
        <v>0</v>
      </c>
      <c r="F238" t="str">
        <f>SmtRes!I299</f>
        <v>041000</v>
      </c>
      <c r="G238" t="str">
        <f>SmtRes!K299</f>
        <v>Преобразователи сварочные с номинальным сварочным током 315-500 А</v>
      </c>
      <c r="H238" t="str">
        <f>SmtRes!O299</f>
        <v>маш.-ч</v>
      </c>
      <c r="I238">
        <f>SmtRes!Y299*Source!I328</f>
        <v>0.16889599999999999</v>
      </c>
      <c r="J238">
        <f>SmtRes!AO299</f>
        <v>1</v>
      </c>
      <c r="K238">
        <f>SmtRes!AF299</f>
        <v>9.6999999999999993</v>
      </c>
      <c r="L238">
        <f>SmtRes!DB299</f>
        <v>5.63</v>
      </c>
      <c r="M238">
        <f>ROUND(ROUND(L238*Source!I328, 2)*1, 2)</f>
        <v>1.64</v>
      </c>
      <c r="N238">
        <f>SmtRes!AB299</f>
        <v>116.79</v>
      </c>
      <c r="O238">
        <f>ROUND(ROUND(L238*Source!I328, 2)*SmtRes!DA299, 2)</f>
        <v>19.75</v>
      </c>
      <c r="P238">
        <f>SmtRes!AG299</f>
        <v>0</v>
      </c>
      <c r="Q238">
        <f>SmtRes!DC299</f>
        <v>0</v>
      </c>
      <c r="R238">
        <f>ROUND(ROUND(Q238*Source!I328, 2)*1, 2)</f>
        <v>0</v>
      </c>
      <c r="S238">
        <f>SmtRes!AC299</f>
        <v>0</v>
      </c>
      <c r="T238">
        <f>ROUND(ROUND(Q238*Source!I328, 2)*SmtRes!AK299, 2)</f>
        <v>0</v>
      </c>
      <c r="U238">
        <v>2</v>
      </c>
      <c r="Z238">
        <f>SmtRes!X299</f>
        <v>1565869296</v>
      </c>
      <c r="AA238">
        <v>-932489371</v>
      </c>
      <c r="AB238">
        <v>642182244</v>
      </c>
    </row>
    <row r="239" spans="1:28" x14ac:dyDescent="0.2">
      <c r="A239">
        <v>20</v>
      </c>
      <c r="B239">
        <v>298</v>
      </c>
      <c r="C239">
        <v>2</v>
      </c>
      <c r="D239">
        <v>0</v>
      </c>
      <c r="E239">
        <f>SmtRes!AV298</f>
        <v>0</v>
      </c>
      <c r="F239" t="str">
        <f>SmtRes!I298</f>
        <v>040504</v>
      </c>
      <c r="G239" t="str">
        <f>SmtRes!K298</f>
        <v>Аппарат для газовой сварки и резки</v>
      </c>
      <c r="H239" t="str">
        <f>SmtRes!O298</f>
        <v>маш.-ч</v>
      </c>
      <c r="I239">
        <f>SmtRes!Y298*Source!I328</f>
        <v>0.19510400000000003</v>
      </c>
      <c r="J239">
        <f>SmtRes!AO298</f>
        <v>1</v>
      </c>
      <c r="K239">
        <f>SmtRes!AF298</f>
        <v>1.43</v>
      </c>
      <c r="L239">
        <f>SmtRes!DB298</f>
        <v>0.96</v>
      </c>
      <c r="M239">
        <f>ROUND(ROUND(L239*Source!I328, 2)*1, 2)</f>
        <v>0.28000000000000003</v>
      </c>
      <c r="N239">
        <f>SmtRes!AB298</f>
        <v>9.35</v>
      </c>
      <c r="O239">
        <f>ROUND(ROUND(L239*Source!I328, 2)*SmtRes!DA298, 2)</f>
        <v>1.83</v>
      </c>
      <c r="P239">
        <f>SmtRes!AG298</f>
        <v>0</v>
      </c>
      <c r="Q239">
        <f>SmtRes!DC298</f>
        <v>0</v>
      </c>
      <c r="R239">
        <f>ROUND(ROUND(Q239*Source!I328, 2)*1, 2)</f>
        <v>0</v>
      </c>
      <c r="S239">
        <f>SmtRes!AC298</f>
        <v>0</v>
      </c>
      <c r="T239">
        <f>ROUND(ROUND(Q239*Source!I328, 2)*SmtRes!AK298, 2)</f>
        <v>0</v>
      </c>
      <c r="U239">
        <v>2</v>
      </c>
      <c r="Z239">
        <f>SmtRes!X298</f>
        <v>4083802</v>
      </c>
      <c r="AA239">
        <v>-1138127538</v>
      </c>
      <c r="AB239">
        <v>1695468324</v>
      </c>
    </row>
    <row r="240" spans="1:28" x14ac:dyDescent="0.2">
      <c r="A240">
        <v>20</v>
      </c>
      <c r="B240">
        <v>297</v>
      </c>
      <c r="C240">
        <v>2</v>
      </c>
      <c r="D240">
        <v>0</v>
      </c>
      <c r="E240">
        <f>SmtRes!AV297</f>
        <v>0</v>
      </c>
      <c r="F240" t="str">
        <f>SmtRes!I297</f>
        <v>021245</v>
      </c>
      <c r="G240" t="str">
        <f>SmtRes!K297</f>
        <v>Краны на гусеничном ходу при работе на других видах строительства 40 т</v>
      </c>
      <c r="H240" t="str">
        <f>SmtRes!O297</f>
        <v>маш.-ч</v>
      </c>
      <c r="I240">
        <f>SmtRes!Y297*Source!I328</f>
        <v>0.38729600000000003</v>
      </c>
      <c r="J240">
        <f>SmtRes!AO297</f>
        <v>1</v>
      </c>
      <c r="K240">
        <f>SmtRes!AF297</f>
        <v>187.45</v>
      </c>
      <c r="L240">
        <f>SmtRes!DB297</f>
        <v>249.31</v>
      </c>
      <c r="M240">
        <f>ROUND(ROUND(L240*Source!I328, 2)*1, 2)</f>
        <v>72.599999999999994</v>
      </c>
      <c r="N240">
        <f>SmtRes!AB297</f>
        <v>2397.4899999999998</v>
      </c>
      <c r="O240">
        <f>ROUND(ROUND(L240*Source!I328, 2)*SmtRes!DA297, 2)</f>
        <v>928.55</v>
      </c>
      <c r="P240">
        <f>SmtRes!AG297</f>
        <v>12.9</v>
      </c>
      <c r="Q240">
        <f>SmtRes!DC297</f>
        <v>17.16</v>
      </c>
      <c r="R240">
        <f>ROUND(ROUND(Q240*Source!I328, 2)*1, 2)</f>
        <v>5</v>
      </c>
      <c r="S240">
        <f>SmtRes!AC297</f>
        <v>454.98</v>
      </c>
      <c r="T240">
        <f>ROUND(ROUND(Q240*Source!I328, 2)*SmtRes!AK297, 2)</f>
        <v>176.35</v>
      </c>
      <c r="U240">
        <v>2</v>
      </c>
      <c r="Z240">
        <f>SmtRes!X297</f>
        <v>-634994428</v>
      </c>
      <c r="AA240">
        <v>-1271991085</v>
      </c>
      <c r="AB240">
        <v>-534232308</v>
      </c>
    </row>
    <row r="241" spans="1:28" x14ac:dyDescent="0.2">
      <c r="A241">
        <v>20</v>
      </c>
      <c r="B241">
        <v>296</v>
      </c>
      <c r="C241">
        <v>2</v>
      </c>
      <c r="D241">
        <v>0</v>
      </c>
      <c r="E241">
        <f>SmtRes!AV296</f>
        <v>0</v>
      </c>
      <c r="F241" t="str">
        <f>SmtRes!I296</f>
        <v>021141</v>
      </c>
      <c r="G241" t="str">
        <f>SmtRes!K296</f>
        <v>Краны на автомобильном ходу при работе на других видах строительства 10 т</v>
      </c>
      <c r="H241" t="str">
        <f>SmtRes!O296</f>
        <v>маш.-ч</v>
      </c>
      <c r="I241">
        <f>SmtRes!Y296*Source!I328</f>
        <v>3.7856000000000001E-2</v>
      </c>
      <c r="J241">
        <f>SmtRes!AO296</f>
        <v>1</v>
      </c>
      <c r="K241">
        <f>SmtRes!AF296</f>
        <v>124.14</v>
      </c>
      <c r="L241">
        <f>SmtRes!DB296</f>
        <v>16.14</v>
      </c>
      <c r="M241">
        <f>ROUND(ROUND(L241*Source!I328, 2)*1, 2)</f>
        <v>4.7</v>
      </c>
      <c r="N241">
        <f>SmtRes!AB296</f>
        <v>1453.68</v>
      </c>
      <c r="O241">
        <f>ROUND(ROUND(L241*Source!I328, 2)*SmtRes!DA296, 2)</f>
        <v>55.04</v>
      </c>
      <c r="P241">
        <f>SmtRes!AG296</f>
        <v>12.1</v>
      </c>
      <c r="Q241">
        <f>SmtRes!DC296</f>
        <v>1.57</v>
      </c>
      <c r="R241">
        <f>ROUND(ROUND(Q241*Source!I328, 2)*1, 2)</f>
        <v>0.46</v>
      </c>
      <c r="S241">
        <f>SmtRes!AC296</f>
        <v>426.77</v>
      </c>
      <c r="T241">
        <f>ROUND(ROUND(Q241*Source!I328, 2)*SmtRes!AK296, 2)</f>
        <v>16.22</v>
      </c>
      <c r="U241">
        <v>2</v>
      </c>
      <c r="Z241">
        <f>SmtRes!X296</f>
        <v>1447433125</v>
      </c>
      <c r="AA241">
        <v>1854632627</v>
      </c>
      <c r="AB241">
        <v>887395808</v>
      </c>
    </row>
    <row r="242" spans="1:28" x14ac:dyDescent="0.2">
      <c r="A242">
        <v>20</v>
      </c>
      <c r="B242">
        <v>295</v>
      </c>
      <c r="C242">
        <v>2</v>
      </c>
      <c r="D242">
        <v>0</v>
      </c>
      <c r="E242">
        <f>SmtRes!AV295</f>
        <v>0</v>
      </c>
      <c r="F242" t="str">
        <f>SmtRes!I295</f>
        <v>020403</v>
      </c>
      <c r="G242" t="str">
        <f>SmtRes!K295</f>
        <v>Краны козловые при работе на монтаже технологического оборудования 32 т</v>
      </c>
      <c r="H242" t="str">
        <f>SmtRes!O295</f>
        <v>маш.-ч</v>
      </c>
      <c r="I242">
        <f>SmtRes!Y295*Source!I328</f>
        <v>2.9120000000000004E-2</v>
      </c>
      <c r="J242">
        <f>SmtRes!AO295</f>
        <v>1</v>
      </c>
      <c r="K242">
        <f>SmtRes!AF295</f>
        <v>159.85</v>
      </c>
      <c r="L242">
        <f>SmtRes!DB295</f>
        <v>15.99</v>
      </c>
      <c r="M242">
        <f>ROUND(ROUND(L242*Source!I328, 2)*1, 2)</f>
        <v>4.66</v>
      </c>
      <c r="N242">
        <f>SmtRes!AB295</f>
        <v>1791.92</v>
      </c>
      <c r="O242">
        <f>ROUND(ROUND(L242*Source!I328, 2)*SmtRes!DA295, 2)</f>
        <v>52.24</v>
      </c>
      <c r="P242">
        <f>SmtRes!AG295</f>
        <v>13.78</v>
      </c>
      <c r="Q242">
        <f>SmtRes!DC295</f>
        <v>1.38</v>
      </c>
      <c r="R242">
        <f>ROUND(ROUND(Q242*Source!I328, 2)*1, 2)</f>
        <v>0.4</v>
      </c>
      <c r="S242">
        <f>SmtRes!AC295</f>
        <v>486.02</v>
      </c>
      <c r="T242">
        <f>ROUND(ROUND(Q242*Source!I328, 2)*SmtRes!AK295, 2)</f>
        <v>14.11</v>
      </c>
      <c r="U242">
        <v>2</v>
      </c>
      <c r="Z242">
        <f>SmtRes!X295</f>
        <v>1827899330</v>
      </c>
      <c r="AA242">
        <v>819171878</v>
      </c>
      <c r="AB242">
        <v>-910470663</v>
      </c>
    </row>
    <row r="243" spans="1:28" x14ac:dyDescent="0.2">
      <c r="A243">
        <v>20</v>
      </c>
      <c r="B243">
        <v>293</v>
      </c>
      <c r="C243">
        <v>1</v>
      </c>
      <c r="D243">
        <v>0</v>
      </c>
      <c r="E243">
        <f>SmtRes!AV293</f>
        <v>1</v>
      </c>
      <c r="F243" t="str">
        <f>SmtRes!I293</f>
        <v>1-1032-21</v>
      </c>
      <c r="G243" t="str">
        <f>SmtRes!K293</f>
        <v>Рабочий строитель среднего разряда 3,2</v>
      </c>
      <c r="H243" t="str">
        <f>SmtRes!O293</f>
        <v>чел.-ч</v>
      </c>
      <c r="I243">
        <f>SmtRes!Y293*Source!I328</f>
        <v>4.5980480000000004</v>
      </c>
      <c r="J243">
        <f>SmtRes!AO293</f>
        <v>1</v>
      </c>
      <c r="K243">
        <f>SmtRes!AH293</f>
        <v>8.17</v>
      </c>
      <c r="L243">
        <f>SmtRes!DB293</f>
        <v>129</v>
      </c>
      <c r="M243">
        <f>ROUND(ROUND(L243*Source!I328, 2)*1, 2)</f>
        <v>37.56</v>
      </c>
      <c r="N243">
        <f>SmtRes!AD293</f>
        <v>8.17</v>
      </c>
      <c r="O243">
        <f>ROUND(ROUND(L243*Source!I328, 2)*SmtRes!DA293, 2)</f>
        <v>37.56</v>
      </c>
      <c r="P243">
        <f>SmtRes!AG293</f>
        <v>0</v>
      </c>
      <c r="Q243">
        <f>SmtRes!DC293</f>
        <v>0</v>
      </c>
      <c r="R243">
        <f>ROUND(ROUND(Q243*Source!I328, 2)*1, 2)</f>
        <v>0</v>
      </c>
      <c r="S243">
        <f>SmtRes!AC293</f>
        <v>0</v>
      </c>
      <c r="T243">
        <f>ROUND(ROUND(Q243*Source!I328, 2)*SmtRes!AK293, 2)</f>
        <v>0</v>
      </c>
      <c r="U243">
        <v>1</v>
      </c>
      <c r="Z243">
        <f>SmtRes!X293</f>
        <v>-1698459243</v>
      </c>
      <c r="AA243">
        <v>2091112521</v>
      </c>
      <c r="AB243">
        <v>-72625266</v>
      </c>
    </row>
    <row r="244" spans="1:28" x14ac:dyDescent="0.2">
      <c r="A244">
        <f>Source!A330</f>
        <v>17</v>
      </c>
      <c r="B244">
        <v>330</v>
      </c>
      <c r="C244">
        <v>3</v>
      </c>
      <c r="D244">
        <f>Source!BI330</f>
        <v>1</v>
      </c>
      <c r="E244">
        <f>Source!FS330</f>
        <v>0</v>
      </c>
      <c r="F244" t="str">
        <f>Source!F330</f>
        <v>101-3686</v>
      </c>
      <c r="G244" t="str">
        <f>Source!G330</f>
        <v>Швеллеры № 12 сталь марки Ст3пс</v>
      </c>
      <c r="H244" t="str">
        <f>Source!H330</f>
        <v>т</v>
      </c>
      <c r="I244">
        <f>Source!I330</f>
        <v>0.29120000000000001</v>
      </c>
      <c r="J244">
        <v>1</v>
      </c>
      <c r="K244">
        <f>Source!AC330</f>
        <v>4973.5</v>
      </c>
      <c r="M244">
        <f>ROUND(K244*I244, 2)</f>
        <v>1448.28</v>
      </c>
      <c r="N244">
        <f>Source!AC330*IF(Source!BC330&lt;&gt; 0, Source!BC330, 1)</f>
        <v>69629</v>
      </c>
      <c r="O244">
        <f>ROUND(N244*I244, 2)</f>
        <v>20275.96</v>
      </c>
      <c r="P244">
        <f>Source!AE330</f>
        <v>0</v>
      </c>
      <c r="R244">
        <f>ROUND(P244*I244, 2)</f>
        <v>0</v>
      </c>
      <c r="S244">
        <f>Source!AE330*IF(Source!BS330&lt;&gt; 0, Source!BS330, 1)</f>
        <v>0</v>
      </c>
      <c r="T244">
        <f>ROUND(S244*I244, 2)</f>
        <v>0</v>
      </c>
      <c r="U244">
        <v>3</v>
      </c>
      <c r="Z244">
        <f>Source!GF330</f>
        <v>-1158300765</v>
      </c>
      <c r="AA244">
        <v>1619281099</v>
      </c>
      <c r="AB244">
        <v>-705689634</v>
      </c>
    </row>
    <row r="245" spans="1:28" x14ac:dyDescent="0.2">
      <c r="A245">
        <v>20</v>
      </c>
      <c r="B245">
        <v>339</v>
      </c>
      <c r="C245">
        <v>3</v>
      </c>
      <c r="D245">
        <v>0</v>
      </c>
      <c r="E245">
        <f>SmtRes!AV339</f>
        <v>0</v>
      </c>
      <c r="F245" t="str">
        <f>SmtRes!I339</f>
        <v>508-0097</v>
      </c>
      <c r="G245" t="str">
        <f>SmtRes!K339</f>
        <v>Канат двойной свивки типа ТК, конструкции 6х19(1+6+12)+1 о.с., оцинкованный из проволок марки В, маркировочная группа 1770 н/мм2, диаметром 5,5 мм</v>
      </c>
      <c r="H245" t="str">
        <f>SmtRes!O339</f>
        <v>10 м</v>
      </c>
      <c r="I245">
        <f>SmtRes!Y339*Source!I331</f>
        <v>3.8400000000000001E-3</v>
      </c>
      <c r="J245">
        <f>SmtRes!AO339</f>
        <v>1</v>
      </c>
      <c r="K245">
        <f>SmtRes!AE339</f>
        <v>71.5</v>
      </c>
      <c r="L245">
        <f>SmtRes!DB339</f>
        <v>1.1399999999999999</v>
      </c>
      <c r="M245">
        <f>ROUND(ROUND(L245*Source!I331, 2)*1, 2)</f>
        <v>0.27</v>
      </c>
      <c r="N245">
        <f>SmtRes!AA339</f>
        <v>251.68</v>
      </c>
      <c r="O245">
        <f>ROUND(ROUND(L245*Source!I331, 2)*SmtRes!DA339, 2)</f>
        <v>0.95</v>
      </c>
      <c r="P245">
        <f>SmtRes!AG339</f>
        <v>0</v>
      </c>
      <c r="Q245">
        <f>SmtRes!DC339</f>
        <v>0</v>
      </c>
      <c r="R245">
        <f>ROUND(ROUND(Q245*Source!I331, 2)*1, 2)</f>
        <v>0</v>
      </c>
      <c r="S245">
        <f>SmtRes!AC339</f>
        <v>0</v>
      </c>
      <c r="T245">
        <f>ROUND(ROUND(Q245*Source!I331, 2)*SmtRes!AK339, 2)</f>
        <v>0</v>
      </c>
      <c r="U245">
        <v>3</v>
      </c>
      <c r="Z245">
        <f>SmtRes!X339</f>
        <v>-802941189</v>
      </c>
      <c r="AA245">
        <v>233119458</v>
      </c>
      <c r="AB245">
        <v>682266845</v>
      </c>
    </row>
    <row r="246" spans="1:28" x14ac:dyDescent="0.2">
      <c r="A246">
        <v>20</v>
      </c>
      <c r="B246">
        <v>338</v>
      </c>
      <c r="C246">
        <v>3</v>
      </c>
      <c r="D246">
        <v>0</v>
      </c>
      <c r="E246">
        <f>SmtRes!AV338</f>
        <v>0</v>
      </c>
      <c r="F246" t="str">
        <f>SmtRes!I338</f>
        <v>201-0756</v>
      </c>
      <c r="G246" t="str">
        <f>SmtRes!K338</f>
        <v>Отдельные конструктивные элементы зданий и сооружений с преобладанием горячекатаных профилей, средняя масса сборочной единицы от 0,1 до 0,5 т</v>
      </c>
      <c r="H246" t="str">
        <f>SmtRes!O338</f>
        <v>т</v>
      </c>
      <c r="I246">
        <f>SmtRes!Y338*Source!I331</f>
        <v>2.6399999999999996E-3</v>
      </c>
      <c r="J246">
        <f>SmtRes!AO338</f>
        <v>1</v>
      </c>
      <c r="K246">
        <f>SmtRes!AE338</f>
        <v>7712</v>
      </c>
      <c r="L246">
        <f>SmtRes!DB338</f>
        <v>84.83</v>
      </c>
      <c r="M246">
        <f>ROUND(ROUND(L246*Source!I331, 2)*1, 2)</f>
        <v>20.36</v>
      </c>
      <c r="N246">
        <f>SmtRes!AA338</f>
        <v>119227.52</v>
      </c>
      <c r="O246">
        <f>ROUND(ROUND(L246*Source!I331, 2)*SmtRes!DA338, 2)</f>
        <v>314.77</v>
      </c>
      <c r="P246">
        <f>SmtRes!AG338</f>
        <v>0</v>
      </c>
      <c r="Q246">
        <f>SmtRes!DC338</f>
        <v>0</v>
      </c>
      <c r="R246">
        <f>ROUND(ROUND(Q246*Source!I331, 2)*1, 2)</f>
        <v>0</v>
      </c>
      <c r="S246">
        <f>SmtRes!AC338</f>
        <v>0</v>
      </c>
      <c r="T246">
        <f>ROUND(ROUND(Q246*Source!I331, 2)*SmtRes!AK338, 2)</f>
        <v>0</v>
      </c>
      <c r="U246">
        <v>3</v>
      </c>
      <c r="Z246">
        <f>SmtRes!X338</f>
        <v>1152755346</v>
      </c>
      <c r="AA246">
        <v>-527851369</v>
      </c>
      <c r="AB246">
        <v>161394910</v>
      </c>
    </row>
    <row r="247" spans="1:28" x14ac:dyDescent="0.2">
      <c r="A247">
        <v>20</v>
      </c>
      <c r="B247">
        <v>337</v>
      </c>
      <c r="C247">
        <v>3</v>
      </c>
      <c r="D247">
        <v>0</v>
      </c>
      <c r="E247">
        <f>SmtRes!AV337</f>
        <v>0</v>
      </c>
      <c r="F247" t="str">
        <f>SmtRes!I337</f>
        <v>113-0021</v>
      </c>
      <c r="G247" t="str">
        <f>SmtRes!K337</f>
        <v>Грунтовка ГФ-021 красно-коричневая</v>
      </c>
      <c r="H247" t="str">
        <f>SmtRes!O337</f>
        <v>т</v>
      </c>
      <c r="I247">
        <f>SmtRes!Y337*Source!I331</f>
        <v>1.1279999999999999E-4</v>
      </c>
      <c r="J247">
        <f>SmtRes!AO337</f>
        <v>1</v>
      </c>
      <c r="K247">
        <f>SmtRes!AE337</f>
        <v>15620</v>
      </c>
      <c r="L247">
        <f>SmtRes!DB337</f>
        <v>7.34</v>
      </c>
      <c r="M247">
        <f>ROUND(ROUND(L247*Source!I331, 2)*1, 2)</f>
        <v>1.76</v>
      </c>
      <c r="N247">
        <f>SmtRes!AA337</f>
        <v>80130.600000000006</v>
      </c>
      <c r="O247">
        <f>ROUND(ROUND(L247*Source!I331, 2)*SmtRes!DA337, 2)</f>
        <v>9.0299999999999994</v>
      </c>
      <c r="P247">
        <f>SmtRes!AG337</f>
        <v>0</v>
      </c>
      <c r="Q247">
        <f>SmtRes!DC337</f>
        <v>0</v>
      </c>
      <c r="R247">
        <f>ROUND(ROUND(Q247*Source!I331, 2)*1, 2)</f>
        <v>0</v>
      </c>
      <c r="S247">
        <f>SmtRes!AC337</f>
        <v>0</v>
      </c>
      <c r="T247">
        <f>ROUND(ROUND(Q247*Source!I331, 2)*SmtRes!AK337, 2)</f>
        <v>0</v>
      </c>
      <c r="U247">
        <v>3</v>
      </c>
      <c r="Z247">
        <f>SmtRes!X337</f>
        <v>-763406924</v>
      </c>
      <c r="AA247">
        <v>-232389014</v>
      </c>
      <c r="AB247">
        <v>-1628321020</v>
      </c>
    </row>
    <row r="248" spans="1:28" x14ac:dyDescent="0.2">
      <c r="A248">
        <v>20</v>
      </c>
      <c r="B248">
        <v>336</v>
      </c>
      <c r="C248">
        <v>3</v>
      </c>
      <c r="D248">
        <v>0</v>
      </c>
      <c r="E248">
        <f>SmtRes!AV336</f>
        <v>0</v>
      </c>
      <c r="F248" t="str">
        <f>SmtRes!I336</f>
        <v>102-0023</v>
      </c>
      <c r="G248" t="str">
        <f>SmtRes!K336</f>
        <v>Бруски обрезные хвойных пород длиной 4-6,5 м, шириной 75-150 мм, толщиной 40-75 мм, I сорта</v>
      </c>
      <c r="H248" t="str">
        <f>SmtRes!O336</f>
        <v>м3</v>
      </c>
      <c r="I248">
        <f>SmtRes!Y336*Source!I331</f>
        <v>3.1199999999999999E-4</v>
      </c>
      <c r="J248">
        <f>SmtRes!AO336</f>
        <v>1</v>
      </c>
      <c r="K248">
        <f>SmtRes!AE336</f>
        <v>1421</v>
      </c>
      <c r="L248">
        <f>SmtRes!DB336</f>
        <v>1.85</v>
      </c>
      <c r="M248">
        <f>ROUND(ROUND(L248*Source!I331, 2)*1, 2)</f>
        <v>0.44</v>
      </c>
      <c r="N248">
        <f>SmtRes!AA336</f>
        <v>18572.47</v>
      </c>
      <c r="O248">
        <f>ROUND(ROUND(L248*Source!I331, 2)*SmtRes!DA336, 2)</f>
        <v>5.75</v>
      </c>
      <c r="P248">
        <f>SmtRes!AG336</f>
        <v>0</v>
      </c>
      <c r="Q248">
        <f>SmtRes!DC336</f>
        <v>0</v>
      </c>
      <c r="R248">
        <f>ROUND(ROUND(Q248*Source!I331, 2)*1, 2)</f>
        <v>0</v>
      </c>
      <c r="S248">
        <f>SmtRes!AC336</f>
        <v>0</v>
      </c>
      <c r="T248">
        <f>ROUND(ROUND(Q248*Source!I331, 2)*SmtRes!AK336, 2)</f>
        <v>0</v>
      </c>
      <c r="U248">
        <v>3</v>
      </c>
      <c r="Z248">
        <f>SmtRes!X336</f>
        <v>579634616</v>
      </c>
      <c r="AA248">
        <v>-149810444</v>
      </c>
      <c r="AB248">
        <v>-1697308160</v>
      </c>
    </row>
    <row r="249" spans="1:28" x14ac:dyDescent="0.2">
      <c r="A249">
        <v>20</v>
      </c>
      <c r="B249">
        <v>333</v>
      </c>
      <c r="C249">
        <v>3</v>
      </c>
      <c r="D249">
        <v>0</v>
      </c>
      <c r="E249">
        <f>SmtRes!AV333</f>
        <v>0</v>
      </c>
      <c r="F249" t="str">
        <f>SmtRes!I333</f>
        <v>101-2467</v>
      </c>
      <c r="G249" t="str">
        <f>SmtRes!K333</f>
        <v>Растворитель марки Р-4</v>
      </c>
      <c r="H249" t="str">
        <f>SmtRes!O333</f>
        <v>т</v>
      </c>
      <c r="I249">
        <f>SmtRes!Y333*Source!I331</f>
        <v>2.16E-5</v>
      </c>
      <c r="J249">
        <f>SmtRes!AO333</f>
        <v>1</v>
      </c>
      <c r="K249">
        <f>SmtRes!AE333</f>
        <v>9420</v>
      </c>
      <c r="L249">
        <f>SmtRes!DB333</f>
        <v>0.85</v>
      </c>
      <c r="M249">
        <f>ROUND(ROUND(L249*Source!I331, 2)*1, 2)</f>
        <v>0.2</v>
      </c>
      <c r="N249">
        <f>SmtRes!AA333</f>
        <v>72063</v>
      </c>
      <c r="O249">
        <f>ROUND(ROUND(L249*Source!I331, 2)*SmtRes!DA333, 2)</f>
        <v>1.53</v>
      </c>
      <c r="P249">
        <f>SmtRes!AG333</f>
        <v>0</v>
      </c>
      <c r="Q249">
        <f>SmtRes!DC333</f>
        <v>0</v>
      </c>
      <c r="R249">
        <f>ROUND(ROUND(Q249*Source!I331, 2)*1, 2)</f>
        <v>0</v>
      </c>
      <c r="S249">
        <f>SmtRes!AC333</f>
        <v>0</v>
      </c>
      <c r="T249">
        <f>ROUND(ROUND(Q249*Source!I331, 2)*SmtRes!AK333, 2)</f>
        <v>0</v>
      </c>
      <c r="U249">
        <v>3</v>
      </c>
      <c r="Z249">
        <f>SmtRes!X333</f>
        <v>-250432139</v>
      </c>
      <c r="AA249">
        <v>1739873944</v>
      </c>
      <c r="AB249">
        <v>1068711965</v>
      </c>
    </row>
    <row r="250" spans="1:28" x14ac:dyDescent="0.2">
      <c r="A250">
        <v>20</v>
      </c>
      <c r="B250">
        <v>332</v>
      </c>
      <c r="C250">
        <v>3</v>
      </c>
      <c r="D250">
        <v>0</v>
      </c>
      <c r="E250">
        <f>SmtRes!AV332</f>
        <v>0</v>
      </c>
      <c r="F250" t="str">
        <f>SmtRes!I332</f>
        <v>101-2278</v>
      </c>
      <c r="G250" t="str">
        <f>SmtRes!K332</f>
        <v>Пропан-бутан, смесь техническая</v>
      </c>
      <c r="H250" t="str">
        <f>SmtRes!O332</f>
        <v>кг</v>
      </c>
      <c r="I250">
        <f>SmtRes!Y332*Source!I331</f>
        <v>0.10079999999999999</v>
      </c>
      <c r="J250">
        <f>SmtRes!AO332</f>
        <v>1</v>
      </c>
      <c r="K250">
        <f>SmtRes!AE332</f>
        <v>6.62</v>
      </c>
      <c r="L250">
        <f>SmtRes!DB332</f>
        <v>2.78</v>
      </c>
      <c r="M250">
        <f>ROUND(ROUND(L250*Source!I331, 2)*1, 2)</f>
        <v>0.67</v>
      </c>
      <c r="N250">
        <f>SmtRes!AA332</f>
        <v>53.09</v>
      </c>
      <c r="O250">
        <f>ROUND(ROUND(L250*Source!I331, 2)*SmtRes!DA332, 2)</f>
        <v>5.37</v>
      </c>
      <c r="P250">
        <f>SmtRes!AG332</f>
        <v>0</v>
      </c>
      <c r="Q250">
        <f>SmtRes!DC332</f>
        <v>0</v>
      </c>
      <c r="R250">
        <f>ROUND(ROUND(Q250*Source!I331, 2)*1, 2)</f>
        <v>0</v>
      </c>
      <c r="S250">
        <f>SmtRes!AC332</f>
        <v>0</v>
      </c>
      <c r="T250">
        <f>ROUND(ROUND(Q250*Source!I331, 2)*SmtRes!AK332, 2)</f>
        <v>0</v>
      </c>
      <c r="U250">
        <v>3</v>
      </c>
      <c r="Z250">
        <f>SmtRes!X332</f>
        <v>873943321</v>
      </c>
      <c r="AA250">
        <v>-395631024</v>
      </c>
      <c r="AB250">
        <v>1803414858</v>
      </c>
    </row>
    <row r="251" spans="1:28" x14ac:dyDescent="0.2">
      <c r="A251">
        <v>20</v>
      </c>
      <c r="B251">
        <v>331</v>
      </c>
      <c r="C251">
        <v>3</v>
      </c>
      <c r="D251">
        <v>0</v>
      </c>
      <c r="E251">
        <f>SmtRes!AV331</f>
        <v>0</v>
      </c>
      <c r="F251" t="str">
        <f>SmtRes!I331</f>
        <v>101-1714</v>
      </c>
      <c r="G251" t="str">
        <f>SmtRes!K331</f>
        <v>Болты с гайками и шайбами строительные</v>
      </c>
      <c r="H251" t="str">
        <f>SmtRes!O331</f>
        <v>т</v>
      </c>
      <c r="I251">
        <f>SmtRes!Y331*Source!I331</f>
        <v>5.2800000000000004E-4</v>
      </c>
      <c r="J251">
        <f>SmtRes!AO331</f>
        <v>1</v>
      </c>
      <c r="K251">
        <f>SmtRes!AE331</f>
        <v>9040.01</v>
      </c>
      <c r="L251">
        <f>SmtRes!DB331</f>
        <v>19.89</v>
      </c>
      <c r="M251">
        <f>ROUND(ROUND(L251*Source!I331, 2)*1, 2)</f>
        <v>4.7699999999999996</v>
      </c>
      <c r="N251">
        <f>SmtRes!AA331</f>
        <v>208824.23</v>
      </c>
      <c r="O251">
        <f>ROUND(ROUND(L251*Source!I331, 2)*SmtRes!DA331, 2)</f>
        <v>110.19</v>
      </c>
      <c r="P251">
        <f>SmtRes!AG331</f>
        <v>0</v>
      </c>
      <c r="Q251">
        <f>SmtRes!DC331</f>
        <v>0</v>
      </c>
      <c r="R251">
        <f>ROUND(ROUND(Q251*Source!I331, 2)*1, 2)</f>
        <v>0</v>
      </c>
      <c r="S251">
        <f>SmtRes!AC331</f>
        <v>0</v>
      </c>
      <c r="T251">
        <f>ROUND(ROUND(Q251*Source!I331, 2)*SmtRes!AK331, 2)</f>
        <v>0</v>
      </c>
      <c r="U251">
        <v>3</v>
      </c>
      <c r="Z251">
        <f>SmtRes!X331</f>
        <v>-384985709</v>
      </c>
      <c r="AA251">
        <v>1357882990</v>
      </c>
      <c r="AB251">
        <v>328055112</v>
      </c>
    </row>
    <row r="252" spans="1:28" x14ac:dyDescent="0.2">
      <c r="A252">
        <v>20</v>
      </c>
      <c r="B252">
        <v>330</v>
      </c>
      <c r="C252">
        <v>3</v>
      </c>
      <c r="D252">
        <v>0</v>
      </c>
      <c r="E252">
        <f>SmtRes!AV330</f>
        <v>0</v>
      </c>
      <c r="F252" t="str">
        <f>SmtRes!I330</f>
        <v>101-1513</v>
      </c>
      <c r="G252" t="str">
        <f>SmtRes!K330</f>
        <v>Электроды диаметром 4 мм Э42</v>
      </c>
      <c r="H252" t="str">
        <f>SmtRes!O330</f>
        <v>т</v>
      </c>
      <c r="I252">
        <f>SmtRes!Y330*Source!I331</f>
        <v>1.4639999999999998E-4</v>
      </c>
      <c r="J252">
        <f>SmtRes!AO330</f>
        <v>1</v>
      </c>
      <c r="K252">
        <f>SmtRes!AE330</f>
        <v>9750</v>
      </c>
      <c r="L252">
        <f>SmtRes!DB330</f>
        <v>5.95</v>
      </c>
      <c r="M252">
        <f>ROUND(ROUND(L252*Source!I331, 2)*1, 2)</f>
        <v>1.43</v>
      </c>
      <c r="N252">
        <f>SmtRes!AA330</f>
        <v>119730</v>
      </c>
      <c r="O252">
        <f>ROUND(ROUND(L252*Source!I331, 2)*SmtRes!DA330, 2)</f>
        <v>17.559999999999999</v>
      </c>
      <c r="P252">
        <f>SmtRes!AG330</f>
        <v>0</v>
      </c>
      <c r="Q252">
        <f>SmtRes!DC330</f>
        <v>0</v>
      </c>
      <c r="R252">
        <f>ROUND(ROUND(Q252*Source!I331, 2)*1, 2)</f>
        <v>0</v>
      </c>
      <c r="S252">
        <f>SmtRes!AC330</f>
        <v>0</v>
      </c>
      <c r="T252">
        <f>ROUND(ROUND(Q252*Source!I331, 2)*SmtRes!AK330, 2)</f>
        <v>0</v>
      </c>
      <c r="U252">
        <v>3</v>
      </c>
      <c r="Z252">
        <f>SmtRes!X330</f>
        <v>1483167196</v>
      </c>
      <c r="AA252">
        <v>1048653327</v>
      </c>
      <c r="AB252">
        <v>1673140179</v>
      </c>
    </row>
    <row r="253" spans="1:28" x14ac:dyDescent="0.2">
      <c r="A253">
        <v>20</v>
      </c>
      <c r="B253">
        <v>329</v>
      </c>
      <c r="C253">
        <v>3</v>
      </c>
      <c r="D253">
        <v>0</v>
      </c>
      <c r="E253">
        <f>SmtRes!AV329</f>
        <v>0</v>
      </c>
      <c r="F253" t="str">
        <f>SmtRes!I329</f>
        <v>101-1019</v>
      </c>
      <c r="G253" t="str">
        <f>SmtRes!K329</f>
        <v>Швеллеры № 40 из стали марки Ст0</v>
      </c>
      <c r="H253" t="str">
        <f>SmtRes!O329</f>
        <v>т</v>
      </c>
      <c r="I253">
        <f>SmtRes!Y329*Source!I331</f>
        <v>7.1279999999999998E-4</v>
      </c>
      <c r="J253">
        <f>SmtRes!AO329</f>
        <v>1</v>
      </c>
      <c r="K253">
        <f>SmtRes!AE329</f>
        <v>5191</v>
      </c>
      <c r="L253">
        <f>SmtRes!DB329</f>
        <v>15.42</v>
      </c>
      <c r="M253">
        <f>ROUND(ROUND(L253*Source!I331, 2)*1, 2)</f>
        <v>3.7</v>
      </c>
      <c r="N253">
        <f>SmtRes!AA329</f>
        <v>72674</v>
      </c>
      <c r="O253">
        <f>ROUND(ROUND(L253*Source!I331, 2)*SmtRes!DA329, 2)</f>
        <v>51.8</v>
      </c>
      <c r="P253">
        <f>SmtRes!AG329</f>
        <v>0</v>
      </c>
      <c r="Q253">
        <f>SmtRes!DC329</f>
        <v>0</v>
      </c>
      <c r="R253">
        <f>ROUND(ROUND(Q253*Source!I331, 2)*1, 2)</f>
        <v>0</v>
      </c>
      <c r="S253">
        <f>SmtRes!AC329</f>
        <v>0</v>
      </c>
      <c r="T253">
        <f>ROUND(ROUND(Q253*Source!I331, 2)*SmtRes!AK329, 2)</f>
        <v>0</v>
      </c>
      <c r="U253">
        <v>3</v>
      </c>
      <c r="Z253">
        <f>SmtRes!X329</f>
        <v>-833443196</v>
      </c>
      <c r="AA253">
        <v>478577553</v>
      </c>
      <c r="AB253">
        <v>-376595282</v>
      </c>
    </row>
    <row r="254" spans="1:28" x14ac:dyDescent="0.2">
      <c r="A254">
        <v>20</v>
      </c>
      <c r="B254">
        <v>328</v>
      </c>
      <c r="C254">
        <v>3</v>
      </c>
      <c r="D254">
        <v>0</v>
      </c>
      <c r="E254">
        <f>SmtRes!AV328</f>
        <v>0</v>
      </c>
      <c r="F254" t="str">
        <f>SmtRes!I328</f>
        <v>101-0797</v>
      </c>
      <c r="G254" t="str">
        <f>SmtRes!K328</f>
        <v>Проволока горячекатаная в мотках, диаметром 6,3-6,5 мм</v>
      </c>
      <c r="H254" t="str">
        <f>SmtRes!O328</f>
        <v>т</v>
      </c>
      <c r="I254">
        <f>SmtRes!Y328*Source!I331</f>
        <v>9.6000000000000013E-6</v>
      </c>
      <c r="J254">
        <f>SmtRes!AO328</f>
        <v>1</v>
      </c>
      <c r="K254">
        <f>SmtRes!AE328</f>
        <v>4455</v>
      </c>
      <c r="L254">
        <f>SmtRes!DB328</f>
        <v>0.18</v>
      </c>
      <c r="M254">
        <f>ROUND(ROUND(L254*Source!I331, 2)*1, 2)</f>
        <v>0.04</v>
      </c>
      <c r="N254">
        <f>SmtRes!AA328</f>
        <v>31452.3</v>
      </c>
      <c r="O254">
        <f>ROUND(ROUND(L254*Source!I331, 2)*SmtRes!DA328, 2)</f>
        <v>0.28000000000000003</v>
      </c>
      <c r="P254">
        <f>SmtRes!AG328</f>
        <v>0</v>
      </c>
      <c r="Q254">
        <f>SmtRes!DC328</f>
        <v>0</v>
      </c>
      <c r="R254">
        <f>ROUND(ROUND(Q254*Source!I331, 2)*1, 2)</f>
        <v>0</v>
      </c>
      <c r="S254">
        <f>SmtRes!AC328</f>
        <v>0</v>
      </c>
      <c r="T254">
        <f>ROUND(ROUND(Q254*Source!I331, 2)*SmtRes!AK328, 2)</f>
        <v>0</v>
      </c>
      <c r="U254">
        <v>3</v>
      </c>
      <c r="Z254">
        <f>SmtRes!X328</f>
        <v>1941264678</v>
      </c>
      <c r="AA254">
        <v>376479924</v>
      </c>
      <c r="AB254">
        <v>-456759606</v>
      </c>
    </row>
    <row r="255" spans="1:28" x14ac:dyDescent="0.2">
      <c r="A255">
        <v>20</v>
      </c>
      <c r="B255">
        <v>327</v>
      </c>
      <c r="C255">
        <v>3</v>
      </c>
      <c r="D255">
        <v>0</v>
      </c>
      <c r="E255">
        <f>SmtRes!AV327</f>
        <v>0</v>
      </c>
      <c r="F255" t="str">
        <f>SmtRes!I327</f>
        <v>101-0324</v>
      </c>
      <c r="G255" t="str">
        <f>SmtRes!K327</f>
        <v>Кислород технический газообразный</v>
      </c>
      <c r="H255" t="str">
        <f>SmtRes!O327</f>
        <v>м3</v>
      </c>
      <c r="I255">
        <f>SmtRes!Y327*Source!I331</f>
        <v>0.33599999999999997</v>
      </c>
      <c r="J255">
        <f>SmtRes!AO327</f>
        <v>1</v>
      </c>
      <c r="K255">
        <f>SmtRes!AE327</f>
        <v>6.22</v>
      </c>
      <c r="L255">
        <f>SmtRes!DB327</f>
        <v>8.7100000000000009</v>
      </c>
      <c r="M255">
        <f>ROUND(ROUND(L255*Source!I331, 2)*1, 2)</f>
        <v>2.09</v>
      </c>
      <c r="N255">
        <f>SmtRes!AA327</f>
        <v>118.62</v>
      </c>
      <c r="O255">
        <f>ROUND(ROUND(L255*Source!I331, 2)*SmtRes!DA327, 2)</f>
        <v>39.86</v>
      </c>
      <c r="P255">
        <f>SmtRes!AG327</f>
        <v>0</v>
      </c>
      <c r="Q255">
        <f>SmtRes!DC327</f>
        <v>0</v>
      </c>
      <c r="R255">
        <f>ROUND(ROUND(Q255*Source!I331, 2)*1, 2)</f>
        <v>0</v>
      </c>
      <c r="S255">
        <f>SmtRes!AC327</f>
        <v>0</v>
      </c>
      <c r="T255">
        <f>ROUND(ROUND(Q255*Source!I331, 2)*SmtRes!AK327, 2)</f>
        <v>0</v>
      </c>
      <c r="U255">
        <v>3</v>
      </c>
      <c r="Z255">
        <f>SmtRes!X327</f>
        <v>-821751618</v>
      </c>
      <c r="AA255">
        <v>2128337316</v>
      </c>
      <c r="AB255">
        <v>-1112411388</v>
      </c>
    </row>
    <row r="256" spans="1:28" x14ac:dyDescent="0.2">
      <c r="A256">
        <v>20</v>
      </c>
      <c r="B256">
        <v>326</v>
      </c>
      <c r="C256">
        <v>3</v>
      </c>
      <c r="D256">
        <v>0</v>
      </c>
      <c r="E256">
        <f>SmtRes!AV326</f>
        <v>0</v>
      </c>
      <c r="F256" t="str">
        <f>SmtRes!I326</f>
        <v>101-0309</v>
      </c>
      <c r="G256" t="str">
        <f>SmtRes!K326</f>
        <v>Канаты пеньковые пропитанные</v>
      </c>
      <c r="H256" t="str">
        <f>SmtRes!O326</f>
        <v>т</v>
      </c>
      <c r="I256">
        <f>SmtRes!Y326*Source!I331</f>
        <v>3.5999999999999994E-5</v>
      </c>
      <c r="J256">
        <f>SmtRes!AO326</f>
        <v>1</v>
      </c>
      <c r="K256">
        <f>SmtRes!AE326</f>
        <v>37900</v>
      </c>
      <c r="L256">
        <f>SmtRes!DB326</f>
        <v>5.69</v>
      </c>
      <c r="M256">
        <f>ROUND(ROUND(L256*Source!I331, 2)*1, 2)</f>
        <v>1.37</v>
      </c>
      <c r="N256">
        <f>SmtRes!AA326</f>
        <v>231948</v>
      </c>
      <c r="O256">
        <f>ROUND(ROUND(L256*Source!I331, 2)*SmtRes!DA326, 2)</f>
        <v>8.3800000000000008</v>
      </c>
      <c r="P256">
        <f>SmtRes!AG326</f>
        <v>0</v>
      </c>
      <c r="Q256">
        <f>SmtRes!DC326</f>
        <v>0</v>
      </c>
      <c r="R256">
        <f>ROUND(ROUND(Q256*Source!I331, 2)*1, 2)</f>
        <v>0</v>
      </c>
      <c r="S256">
        <f>SmtRes!AC326</f>
        <v>0</v>
      </c>
      <c r="T256">
        <f>ROUND(ROUND(Q256*Source!I331, 2)*SmtRes!AK326, 2)</f>
        <v>0</v>
      </c>
      <c r="U256">
        <v>3</v>
      </c>
      <c r="Z256">
        <f>SmtRes!X326</f>
        <v>-1280064888</v>
      </c>
      <c r="AA256">
        <v>-863405888</v>
      </c>
      <c r="AB256">
        <v>1686556190</v>
      </c>
    </row>
    <row r="257" spans="1:28" x14ac:dyDescent="0.2">
      <c r="A257">
        <v>20</v>
      </c>
      <c r="B257">
        <v>325</v>
      </c>
      <c r="C257">
        <v>2</v>
      </c>
      <c r="D257">
        <v>0</v>
      </c>
      <c r="E257">
        <f>SmtRes!AV325</f>
        <v>0</v>
      </c>
      <c r="F257" t="str">
        <f>SmtRes!I325</f>
        <v>400001</v>
      </c>
      <c r="G257" t="str">
        <f>SmtRes!K325</f>
        <v>Автомобили бортовые, грузоподъемность до 5 т</v>
      </c>
      <c r="H257" t="str">
        <f>SmtRes!O325</f>
        <v>маш.-ч</v>
      </c>
      <c r="I257">
        <f>SmtRes!Y325*Source!I331</f>
        <v>7.6799999999999993E-2</v>
      </c>
      <c r="J257">
        <f>SmtRes!AO325</f>
        <v>1</v>
      </c>
      <c r="K257">
        <f>SmtRes!AF325</f>
        <v>91.76</v>
      </c>
      <c r="L257">
        <f>SmtRes!DB325</f>
        <v>29.36</v>
      </c>
      <c r="M257">
        <f>ROUND(ROUND(L257*Source!I331, 2)*1, 2)</f>
        <v>7.05</v>
      </c>
      <c r="N257">
        <f>SmtRes!AB325</f>
        <v>1305.74</v>
      </c>
      <c r="O257">
        <f>ROUND(ROUND(L257*Source!I331, 2)*SmtRes!DA325, 2)</f>
        <v>100.32</v>
      </c>
      <c r="P257">
        <f>SmtRes!AG325</f>
        <v>10.35</v>
      </c>
      <c r="Q257">
        <f>SmtRes!DC325</f>
        <v>3.31</v>
      </c>
      <c r="R257">
        <f>ROUND(ROUND(Q257*Source!I331, 2)*1, 2)</f>
        <v>0.79</v>
      </c>
      <c r="S257">
        <f>SmtRes!AC325</f>
        <v>365.04</v>
      </c>
      <c r="T257">
        <f>ROUND(ROUND(Q257*Source!I331, 2)*SmtRes!AK325, 2)</f>
        <v>27.86</v>
      </c>
      <c r="U257">
        <v>2</v>
      </c>
      <c r="Z257">
        <f>SmtRes!X325</f>
        <v>-671646184</v>
      </c>
      <c r="AA257">
        <v>807713937</v>
      </c>
      <c r="AB257">
        <v>1619992053</v>
      </c>
    </row>
    <row r="258" spans="1:28" x14ac:dyDescent="0.2">
      <c r="A258">
        <v>20</v>
      </c>
      <c r="B258">
        <v>324</v>
      </c>
      <c r="C258">
        <v>2</v>
      </c>
      <c r="D258">
        <v>0</v>
      </c>
      <c r="E258">
        <f>SmtRes!AV324</f>
        <v>0</v>
      </c>
      <c r="F258" t="str">
        <f>SmtRes!I324</f>
        <v>330206</v>
      </c>
      <c r="G258" t="str">
        <f>SmtRes!K324</f>
        <v>Дрели электрические</v>
      </c>
      <c r="H258" t="str">
        <f>SmtRes!O324</f>
        <v>маш.-ч</v>
      </c>
      <c r="I258">
        <f>SmtRes!Y324*Source!I331</f>
        <v>0.57840000000000003</v>
      </c>
      <c r="J258">
        <f>SmtRes!AO324</f>
        <v>1</v>
      </c>
      <c r="K258">
        <f>SmtRes!AF324</f>
        <v>2.15</v>
      </c>
      <c r="L258">
        <f>SmtRes!DB324</f>
        <v>5.18</v>
      </c>
      <c r="M258">
        <f>ROUND(ROUND(L258*Source!I331, 2)*1, 2)</f>
        <v>1.24</v>
      </c>
      <c r="N258">
        <f>SmtRes!AB324</f>
        <v>12.13</v>
      </c>
      <c r="O258">
        <f>ROUND(ROUND(L258*Source!I331, 2)*SmtRes!DA324, 2)</f>
        <v>6.99</v>
      </c>
      <c r="P258">
        <f>SmtRes!AG324</f>
        <v>0</v>
      </c>
      <c r="Q258">
        <f>SmtRes!DC324</f>
        <v>0</v>
      </c>
      <c r="R258">
        <f>ROUND(ROUND(Q258*Source!I331, 2)*1, 2)</f>
        <v>0</v>
      </c>
      <c r="S258">
        <f>SmtRes!AC324</f>
        <v>0</v>
      </c>
      <c r="T258">
        <f>ROUND(ROUND(Q258*Source!I331, 2)*SmtRes!AK324, 2)</f>
        <v>0</v>
      </c>
      <c r="U258">
        <v>2</v>
      </c>
      <c r="Z258">
        <f>SmtRes!X324</f>
        <v>835824343</v>
      </c>
      <c r="AA258">
        <v>-508374777</v>
      </c>
      <c r="AB258">
        <v>70027163</v>
      </c>
    </row>
    <row r="259" spans="1:28" x14ac:dyDescent="0.2">
      <c r="A259">
        <v>20</v>
      </c>
      <c r="B259">
        <v>323</v>
      </c>
      <c r="C259">
        <v>2</v>
      </c>
      <c r="D259">
        <v>0</v>
      </c>
      <c r="E259">
        <f>SmtRes!AV323</f>
        <v>0</v>
      </c>
      <c r="F259" t="str">
        <f>SmtRes!I323</f>
        <v>041400</v>
      </c>
      <c r="G259" t="str">
        <f>SmtRes!K323</f>
        <v>Электрические печи для сушки сварочных материалов с регулированием температуры в пределах от 80 °С до 500 °С</v>
      </c>
      <c r="H259" t="str">
        <f>SmtRes!O323</f>
        <v>маш.-ч</v>
      </c>
      <c r="I259">
        <f>SmtRes!Y323*Source!I331</f>
        <v>4.7999999999999996E-3</v>
      </c>
      <c r="J259">
        <f>SmtRes!AO323</f>
        <v>1</v>
      </c>
      <c r="K259">
        <f>SmtRes!AF323</f>
        <v>6.4</v>
      </c>
      <c r="L259">
        <f>SmtRes!DB323</f>
        <v>0.13</v>
      </c>
      <c r="M259">
        <f>ROUND(ROUND(L259*Source!I331, 2)*1, 2)</f>
        <v>0.03</v>
      </c>
      <c r="N259">
        <f>SmtRes!AB323</f>
        <v>74.94</v>
      </c>
      <c r="O259">
        <f>ROUND(ROUND(L259*Source!I331, 2)*SmtRes!DA323, 2)</f>
        <v>0.35</v>
      </c>
      <c r="P259">
        <f>SmtRes!AG323</f>
        <v>0</v>
      </c>
      <c r="Q259">
        <f>SmtRes!DC323</f>
        <v>0</v>
      </c>
      <c r="R259">
        <f>ROUND(ROUND(Q259*Source!I331, 2)*1, 2)</f>
        <v>0</v>
      </c>
      <c r="S259">
        <f>SmtRes!AC323</f>
        <v>0</v>
      </c>
      <c r="T259">
        <f>ROUND(ROUND(Q259*Source!I331, 2)*SmtRes!AK323, 2)</f>
        <v>0</v>
      </c>
      <c r="U259">
        <v>2</v>
      </c>
      <c r="Z259">
        <f>SmtRes!X323</f>
        <v>1535524603</v>
      </c>
      <c r="AA259">
        <v>1147415382</v>
      </c>
      <c r="AB259">
        <v>-1084734523</v>
      </c>
    </row>
    <row r="260" spans="1:28" x14ac:dyDescent="0.2">
      <c r="A260">
        <v>20</v>
      </c>
      <c r="B260">
        <v>322</v>
      </c>
      <c r="C260">
        <v>2</v>
      </c>
      <c r="D260">
        <v>0</v>
      </c>
      <c r="E260">
        <f>SmtRes!AV322</f>
        <v>0</v>
      </c>
      <c r="F260" t="str">
        <f>SmtRes!I322</f>
        <v>041000</v>
      </c>
      <c r="G260" t="str">
        <f>SmtRes!K322</f>
        <v>Преобразователи сварочные с номинальным сварочным током 315-500 А</v>
      </c>
      <c r="H260" t="str">
        <f>SmtRes!O322</f>
        <v>маш.-ч</v>
      </c>
      <c r="I260">
        <f>SmtRes!Y322*Source!I331</f>
        <v>4.3199999999999995E-2</v>
      </c>
      <c r="J260">
        <f>SmtRes!AO322</f>
        <v>1</v>
      </c>
      <c r="K260">
        <f>SmtRes!AF322</f>
        <v>9.6999999999999993</v>
      </c>
      <c r="L260">
        <f>SmtRes!DB322</f>
        <v>1.75</v>
      </c>
      <c r="M260">
        <f>ROUND(ROUND(L260*Source!I331, 2)*1, 2)</f>
        <v>0.42</v>
      </c>
      <c r="N260">
        <f>SmtRes!AB322</f>
        <v>116.79</v>
      </c>
      <c r="O260">
        <f>ROUND(ROUND(L260*Source!I331, 2)*SmtRes!DA322, 2)</f>
        <v>5.0599999999999996</v>
      </c>
      <c r="P260">
        <f>SmtRes!AG322</f>
        <v>0</v>
      </c>
      <c r="Q260">
        <f>SmtRes!DC322</f>
        <v>0</v>
      </c>
      <c r="R260">
        <f>ROUND(ROUND(Q260*Source!I331, 2)*1, 2)</f>
        <v>0</v>
      </c>
      <c r="S260">
        <f>SmtRes!AC322</f>
        <v>0</v>
      </c>
      <c r="T260">
        <f>ROUND(ROUND(Q260*Source!I331, 2)*SmtRes!AK322, 2)</f>
        <v>0</v>
      </c>
      <c r="U260">
        <v>2</v>
      </c>
      <c r="Z260">
        <f>SmtRes!X322</f>
        <v>1565869296</v>
      </c>
      <c r="AA260">
        <v>-932489371</v>
      </c>
      <c r="AB260">
        <v>642182244</v>
      </c>
    </row>
    <row r="261" spans="1:28" x14ac:dyDescent="0.2">
      <c r="A261">
        <v>20</v>
      </c>
      <c r="B261">
        <v>321</v>
      </c>
      <c r="C261">
        <v>2</v>
      </c>
      <c r="D261">
        <v>0</v>
      </c>
      <c r="E261">
        <f>SmtRes!AV321</f>
        <v>0</v>
      </c>
      <c r="F261" t="str">
        <f>SmtRes!I321</f>
        <v>040504</v>
      </c>
      <c r="G261" t="str">
        <f>SmtRes!K321</f>
        <v>Аппарат для газовой сварки и резки</v>
      </c>
      <c r="H261" t="str">
        <f>SmtRes!O321</f>
        <v>маш.-ч</v>
      </c>
      <c r="I261">
        <f>SmtRes!Y321*Source!I331</f>
        <v>0.40319999999999995</v>
      </c>
      <c r="J261">
        <f>SmtRes!AO321</f>
        <v>1</v>
      </c>
      <c r="K261">
        <f>SmtRes!AF321</f>
        <v>1.43</v>
      </c>
      <c r="L261">
        <f>SmtRes!DB321</f>
        <v>2.4</v>
      </c>
      <c r="M261">
        <f>ROUND(ROUND(L261*Source!I331, 2)*1, 2)</f>
        <v>0.57999999999999996</v>
      </c>
      <c r="N261">
        <f>SmtRes!AB321</f>
        <v>9.35</v>
      </c>
      <c r="O261">
        <f>ROUND(ROUND(L261*Source!I331, 2)*SmtRes!DA321, 2)</f>
        <v>3.79</v>
      </c>
      <c r="P261">
        <f>SmtRes!AG321</f>
        <v>0</v>
      </c>
      <c r="Q261">
        <f>SmtRes!DC321</f>
        <v>0</v>
      </c>
      <c r="R261">
        <f>ROUND(ROUND(Q261*Source!I331, 2)*1, 2)</f>
        <v>0</v>
      </c>
      <c r="S261">
        <f>SmtRes!AC321</f>
        <v>0</v>
      </c>
      <c r="T261">
        <f>ROUND(ROUND(Q261*Source!I331, 2)*SmtRes!AK321, 2)</f>
        <v>0</v>
      </c>
      <c r="U261">
        <v>2</v>
      </c>
      <c r="Z261">
        <f>SmtRes!X321</f>
        <v>4083802</v>
      </c>
      <c r="AA261">
        <v>-1138127538</v>
      </c>
      <c r="AB261">
        <v>1695468324</v>
      </c>
    </row>
    <row r="262" spans="1:28" x14ac:dyDescent="0.2">
      <c r="A262">
        <v>20</v>
      </c>
      <c r="B262">
        <v>320</v>
      </c>
      <c r="C262">
        <v>2</v>
      </c>
      <c r="D262">
        <v>0</v>
      </c>
      <c r="E262">
        <f>SmtRes!AV320</f>
        <v>0</v>
      </c>
      <c r="F262" t="str">
        <f>SmtRes!I320</f>
        <v>030203</v>
      </c>
      <c r="G262" t="str">
        <f>SmtRes!K320</f>
        <v>Домкраты гидравлические грузоподъемностью 63-100 т</v>
      </c>
      <c r="H262" t="str">
        <f>SmtRes!O320</f>
        <v>маш.-ч</v>
      </c>
      <c r="I262">
        <f>SmtRes!Y320*Source!I331</f>
        <v>0.23759999999999998</v>
      </c>
      <c r="J262">
        <f>SmtRes!AO320</f>
        <v>1</v>
      </c>
      <c r="K262">
        <f>SmtRes!AF320</f>
        <v>1.52</v>
      </c>
      <c r="L262">
        <f>SmtRes!DB320</f>
        <v>1.5</v>
      </c>
      <c r="M262">
        <f>ROUND(ROUND(L262*Source!I331, 2)*1, 2)</f>
        <v>0.36</v>
      </c>
      <c r="N262">
        <f>SmtRes!AB320</f>
        <v>8.09</v>
      </c>
      <c r="O262">
        <f>ROUND(ROUND(L262*Source!I331, 2)*SmtRes!DA320, 2)</f>
        <v>1.92</v>
      </c>
      <c r="P262">
        <f>SmtRes!AG320</f>
        <v>0</v>
      </c>
      <c r="Q262">
        <f>SmtRes!DC320</f>
        <v>0</v>
      </c>
      <c r="R262">
        <f>ROUND(ROUND(Q262*Source!I331, 2)*1, 2)</f>
        <v>0</v>
      </c>
      <c r="S262">
        <f>SmtRes!AC320</f>
        <v>0</v>
      </c>
      <c r="T262">
        <f>ROUND(ROUND(Q262*Source!I331, 2)*SmtRes!AK320, 2)</f>
        <v>0</v>
      </c>
      <c r="U262">
        <v>2</v>
      </c>
      <c r="Z262">
        <f>SmtRes!X320</f>
        <v>11972859</v>
      </c>
      <c r="AA262">
        <v>-1956597062</v>
      </c>
      <c r="AB262">
        <v>-1264283530</v>
      </c>
    </row>
    <row r="263" spans="1:28" x14ac:dyDescent="0.2">
      <c r="A263">
        <v>20</v>
      </c>
      <c r="B263">
        <v>319</v>
      </c>
      <c r="C263">
        <v>2</v>
      </c>
      <c r="D263">
        <v>0</v>
      </c>
      <c r="E263">
        <f>SmtRes!AV319</f>
        <v>0</v>
      </c>
      <c r="F263" t="str">
        <f>SmtRes!I319</f>
        <v>021245</v>
      </c>
      <c r="G263" t="str">
        <f>SmtRes!K319</f>
        <v>Краны на гусеничном ходу при работе на других видах строительства 40 т</v>
      </c>
      <c r="H263" t="str">
        <f>SmtRes!O319</f>
        <v>маш.-ч</v>
      </c>
      <c r="I263">
        <f>SmtRes!Y319*Source!I331</f>
        <v>0.5663999999999999</v>
      </c>
      <c r="J263">
        <f>SmtRes!AO319</f>
        <v>1</v>
      </c>
      <c r="K263">
        <f>SmtRes!AF319</f>
        <v>187.45</v>
      </c>
      <c r="L263">
        <f>SmtRes!DB319</f>
        <v>442.38</v>
      </c>
      <c r="M263">
        <f>ROUND(ROUND(L263*Source!I331, 2)*1, 2)</f>
        <v>106.17</v>
      </c>
      <c r="N263">
        <f>SmtRes!AB319</f>
        <v>2397.4899999999998</v>
      </c>
      <c r="O263">
        <f>ROUND(ROUND(L263*Source!I331, 2)*SmtRes!DA319, 2)</f>
        <v>1357.91</v>
      </c>
      <c r="P263">
        <f>SmtRes!AG319</f>
        <v>12.9</v>
      </c>
      <c r="Q263">
        <f>SmtRes!DC319</f>
        <v>30.44</v>
      </c>
      <c r="R263">
        <f>ROUND(ROUND(Q263*Source!I331, 2)*1, 2)</f>
        <v>7.31</v>
      </c>
      <c r="S263">
        <f>SmtRes!AC319</f>
        <v>454.98</v>
      </c>
      <c r="T263">
        <f>ROUND(ROUND(Q263*Source!I331, 2)*SmtRes!AK319, 2)</f>
        <v>257.82</v>
      </c>
      <c r="U263">
        <v>2</v>
      </c>
      <c r="Z263">
        <f>SmtRes!X319</f>
        <v>-634994428</v>
      </c>
      <c r="AA263">
        <v>-1271991085</v>
      </c>
      <c r="AB263">
        <v>-534232308</v>
      </c>
    </row>
    <row r="264" spans="1:28" x14ac:dyDescent="0.2">
      <c r="A264">
        <v>20</v>
      </c>
      <c r="B264">
        <v>318</v>
      </c>
      <c r="C264">
        <v>2</v>
      </c>
      <c r="D264">
        <v>0</v>
      </c>
      <c r="E264">
        <f>SmtRes!AV318</f>
        <v>0</v>
      </c>
      <c r="F264" t="str">
        <f>SmtRes!I318</f>
        <v>021141</v>
      </c>
      <c r="G264" t="str">
        <f>SmtRes!K318</f>
        <v>Краны на автомобильном ходу при работе на других видах строительства 10 т</v>
      </c>
      <c r="H264" t="str">
        <f>SmtRes!O318</f>
        <v>маш.-ч</v>
      </c>
      <c r="I264">
        <f>SmtRes!Y318*Source!I331</f>
        <v>5.0399999999999993E-2</v>
      </c>
      <c r="J264">
        <f>SmtRes!AO318</f>
        <v>1</v>
      </c>
      <c r="K264">
        <f>SmtRes!AF318</f>
        <v>124.14</v>
      </c>
      <c r="L264">
        <f>SmtRes!DB318</f>
        <v>26.07</v>
      </c>
      <c r="M264">
        <f>ROUND(ROUND(L264*Source!I331, 2)*1, 2)</f>
        <v>6.26</v>
      </c>
      <c r="N264">
        <f>SmtRes!AB318</f>
        <v>1453.68</v>
      </c>
      <c r="O264">
        <f>ROUND(ROUND(L264*Source!I331, 2)*SmtRes!DA318, 2)</f>
        <v>73.3</v>
      </c>
      <c r="P264">
        <f>SmtRes!AG318</f>
        <v>12.1</v>
      </c>
      <c r="Q264">
        <f>SmtRes!DC318</f>
        <v>2.54</v>
      </c>
      <c r="R264">
        <f>ROUND(ROUND(Q264*Source!I331, 2)*1, 2)</f>
        <v>0.61</v>
      </c>
      <c r="S264">
        <f>SmtRes!AC318</f>
        <v>426.77</v>
      </c>
      <c r="T264">
        <f>ROUND(ROUND(Q264*Source!I331, 2)*SmtRes!AK318, 2)</f>
        <v>21.51</v>
      </c>
      <c r="U264">
        <v>2</v>
      </c>
      <c r="Z264">
        <f>SmtRes!X318</f>
        <v>1447433125</v>
      </c>
      <c r="AA264">
        <v>1854632627</v>
      </c>
      <c r="AB264">
        <v>887395808</v>
      </c>
    </row>
    <row r="265" spans="1:28" x14ac:dyDescent="0.2">
      <c r="A265">
        <v>20</v>
      </c>
      <c r="B265">
        <v>317</v>
      </c>
      <c r="C265">
        <v>2</v>
      </c>
      <c r="D265">
        <v>0</v>
      </c>
      <c r="E265">
        <f>SmtRes!AV317</f>
        <v>0</v>
      </c>
      <c r="F265" t="str">
        <f>SmtRes!I317</f>
        <v>020403</v>
      </c>
      <c r="G265" t="str">
        <f>SmtRes!K317</f>
        <v>Краны козловые при работе на монтаже технологического оборудования 32 т</v>
      </c>
      <c r="H265" t="str">
        <f>SmtRes!O317</f>
        <v>маш.-ч</v>
      </c>
      <c r="I265">
        <f>SmtRes!Y317*Source!I331</f>
        <v>9.5999999999999992E-3</v>
      </c>
      <c r="J265">
        <f>SmtRes!AO317</f>
        <v>1</v>
      </c>
      <c r="K265">
        <f>SmtRes!AF317</f>
        <v>159.85</v>
      </c>
      <c r="L265">
        <f>SmtRes!DB317</f>
        <v>6.39</v>
      </c>
      <c r="M265">
        <f>ROUND(ROUND(L265*Source!I331, 2)*1, 2)</f>
        <v>1.53</v>
      </c>
      <c r="N265">
        <f>SmtRes!AB317</f>
        <v>1791.92</v>
      </c>
      <c r="O265">
        <f>ROUND(ROUND(L265*Source!I331, 2)*SmtRes!DA317, 2)</f>
        <v>17.149999999999999</v>
      </c>
      <c r="P265">
        <f>SmtRes!AG317</f>
        <v>13.78</v>
      </c>
      <c r="Q265">
        <f>SmtRes!DC317</f>
        <v>0.55000000000000004</v>
      </c>
      <c r="R265">
        <f>ROUND(ROUND(Q265*Source!I331, 2)*1, 2)</f>
        <v>0.13</v>
      </c>
      <c r="S265">
        <f>SmtRes!AC317</f>
        <v>486.02</v>
      </c>
      <c r="T265">
        <f>ROUND(ROUND(Q265*Source!I331, 2)*SmtRes!AK317, 2)</f>
        <v>4.59</v>
      </c>
      <c r="U265">
        <v>2</v>
      </c>
      <c r="Z265">
        <f>SmtRes!X317</f>
        <v>1827899330</v>
      </c>
      <c r="AA265">
        <v>819171878</v>
      </c>
      <c r="AB265">
        <v>-910470663</v>
      </c>
    </row>
    <row r="266" spans="1:28" x14ac:dyDescent="0.2">
      <c r="A266">
        <v>20</v>
      </c>
      <c r="B266">
        <v>315</v>
      </c>
      <c r="C266">
        <v>1</v>
      </c>
      <c r="D266">
        <v>0</v>
      </c>
      <c r="E266">
        <f>SmtRes!AV315</f>
        <v>1</v>
      </c>
      <c r="F266" t="str">
        <f>SmtRes!I315</f>
        <v>1-1032-21</v>
      </c>
      <c r="G266" t="str">
        <f>SmtRes!K315</f>
        <v>Рабочий строитель среднего разряда 3,2</v>
      </c>
      <c r="H266" t="str">
        <f>SmtRes!O315</f>
        <v>чел.-ч</v>
      </c>
      <c r="I266">
        <f>SmtRes!Y315*Source!I331</f>
        <v>8.52</v>
      </c>
      <c r="J266">
        <f>SmtRes!AO315</f>
        <v>1</v>
      </c>
      <c r="K266">
        <f>SmtRes!AH315</f>
        <v>8.17</v>
      </c>
      <c r="L266">
        <f>SmtRes!DB315</f>
        <v>290.04000000000002</v>
      </c>
      <c r="M266">
        <f>ROUND(ROUND(L266*Source!I331, 2)*1, 2)</f>
        <v>69.61</v>
      </c>
      <c r="N266">
        <f>SmtRes!AD315</f>
        <v>8.17</v>
      </c>
      <c r="O266">
        <f>ROUND(ROUND(L266*Source!I331, 2)*SmtRes!DA315, 2)</f>
        <v>69.61</v>
      </c>
      <c r="P266">
        <f>SmtRes!AG315</f>
        <v>0</v>
      </c>
      <c r="Q266">
        <f>SmtRes!DC315</f>
        <v>0</v>
      </c>
      <c r="R266">
        <f>ROUND(ROUND(Q266*Source!I331, 2)*1, 2)</f>
        <v>0</v>
      </c>
      <c r="S266">
        <f>SmtRes!AC315</f>
        <v>0</v>
      </c>
      <c r="T266">
        <f>ROUND(ROUND(Q266*Source!I331, 2)*SmtRes!AK315, 2)</f>
        <v>0</v>
      </c>
      <c r="U266">
        <v>1</v>
      </c>
      <c r="Z266">
        <f>SmtRes!X315</f>
        <v>-1698459243</v>
      </c>
      <c r="AA266">
        <v>2091112521</v>
      </c>
      <c r="AB266">
        <v>-72625266</v>
      </c>
    </row>
    <row r="267" spans="1:28" x14ac:dyDescent="0.2">
      <c r="A267">
        <f>Source!A334</f>
        <v>17</v>
      </c>
      <c r="B267">
        <v>334</v>
      </c>
      <c r="C267">
        <v>3</v>
      </c>
      <c r="D267">
        <f>Source!BI334</f>
        <v>1</v>
      </c>
      <c r="E267">
        <f>Source!FS334</f>
        <v>0</v>
      </c>
      <c r="F267" t="str">
        <f>Source!F334</f>
        <v>101-4652</v>
      </c>
      <c r="G267" t="str">
        <f>Source!G334</f>
        <v>Шурупы-саморезы кровельные оцинкованные 5,5х38 мм</v>
      </c>
      <c r="H267" t="str">
        <f>Source!H334</f>
        <v>10 шт.</v>
      </c>
      <c r="I267">
        <f>Source!I334</f>
        <v>20</v>
      </c>
      <c r="J267">
        <v>1</v>
      </c>
      <c r="K267">
        <f>Source!AC334</f>
        <v>4.16</v>
      </c>
      <c r="M267">
        <f>ROUND(K267*I267, 2)</f>
        <v>83.2</v>
      </c>
      <c r="N267">
        <f>Source!AC334*IF(Source!BC334&lt;&gt; 0, Source!BC334, 1)</f>
        <v>26.748799999999999</v>
      </c>
      <c r="O267">
        <f>ROUND(N267*I267, 2)</f>
        <v>534.98</v>
      </c>
      <c r="P267">
        <f>Source!AE334</f>
        <v>0</v>
      </c>
      <c r="R267">
        <f>ROUND(P267*I267, 2)</f>
        <v>0</v>
      </c>
      <c r="S267">
        <f>Source!AE334*IF(Source!BS334&lt;&gt; 0, Source!BS334, 1)</f>
        <v>0</v>
      </c>
      <c r="T267">
        <f>ROUND(S267*I267, 2)</f>
        <v>0</v>
      </c>
      <c r="U267">
        <v>3</v>
      </c>
      <c r="Z267">
        <f>Source!GF334</f>
        <v>2049970744</v>
      </c>
      <c r="AA267">
        <v>-1016625373</v>
      </c>
      <c r="AB267">
        <v>-1140152458</v>
      </c>
    </row>
    <row r="268" spans="1:28" x14ac:dyDescent="0.2">
      <c r="A268">
        <f>Source!A335</f>
        <v>17</v>
      </c>
      <c r="B268">
        <v>335</v>
      </c>
      <c r="C268">
        <v>3</v>
      </c>
      <c r="D268">
        <f>Source!BI335</f>
        <v>1</v>
      </c>
      <c r="E268">
        <f>Source!FS335</f>
        <v>0</v>
      </c>
      <c r="F268" t="str">
        <f>Source!F335</f>
        <v>101-5213</v>
      </c>
      <c r="G268" t="str">
        <f>Source!G335</f>
        <v>Профилированный настил оцинкованный С8-1150-0,55</v>
      </c>
      <c r="H268" t="str">
        <f>Source!H335</f>
        <v>т</v>
      </c>
      <c r="I268">
        <f>Source!I335</f>
        <v>0.11328000000000001</v>
      </c>
      <c r="J268">
        <v>1</v>
      </c>
      <c r="K268">
        <f>Source!AC335</f>
        <v>11775.78</v>
      </c>
      <c r="M268">
        <f>ROUND(K268*I268, 2)</f>
        <v>1333.96</v>
      </c>
      <c r="N268">
        <f>Source!AC335*IF(Source!BC335&lt;&gt; 0, Source!BC335, 1)</f>
        <v>139307.4774</v>
      </c>
      <c r="O268">
        <f>ROUND(N268*I268, 2)</f>
        <v>15780.75</v>
      </c>
      <c r="P268">
        <f>Source!AE335</f>
        <v>0</v>
      </c>
      <c r="R268">
        <f>ROUND(P268*I268, 2)</f>
        <v>0</v>
      </c>
      <c r="S268">
        <f>Source!AE335*IF(Source!BS335&lt;&gt; 0, Source!BS335, 1)</f>
        <v>0</v>
      </c>
      <c r="T268">
        <f>ROUND(S268*I268, 2)</f>
        <v>0</v>
      </c>
      <c r="U268">
        <v>3</v>
      </c>
      <c r="Z268">
        <f>Source!GF335</f>
        <v>1900392113</v>
      </c>
      <c r="AA268">
        <v>1332579260</v>
      </c>
      <c r="AB268">
        <v>-689911822</v>
      </c>
    </row>
    <row r="269" spans="1:28" x14ac:dyDescent="0.2">
      <c r="A269">
        <v>20</v>
      </c>
      <c r="B269">
        <v>341</v>
      </c>
      <c r="C269">
        <v>2</v>
      </c>
      <c r="D269">
        <v>0</v>
      </c>
      <c r="E269">
        <f>SmtRes!AV341</f>
        <v>0</v>
      </c>
      <c r="F269" t="str">
        <f>SmtRes!I341</f>
        <v>400001</v>
      </c>
      <c r="G269" t="str">
        <f>SmtRes!K341</f>
        <v>Автомобили бортовые, грузоподъемность до 5 т</v>
      </c>
      <c r="H269" t="str">
        <f>SmtRes!O341</f>
        <v>маш.-ч</v>
      </c>
      <c r="I269">
        <f>SmtRes!Y341*Source!I336</f>
        <v>1.7999999999999999E-2</v>
      </c>
      <c r="J269">
        <f>SmtRes!AO341</f>
        <v>1</v>
      </c>
      <c r="K269">
        <f>SmtRes!AF341</f>
        <v>91.76</v>
      </c>
      <c r="L269">
        <f>SmtRes!DB341</f>
        <v>2.75</v>
      </c>
      <c r="M269">
        <f>ROUND(ROUND(L269*Source!I336, 2)*1, 2)</f>
        <v>1.65</v>
      </c>
      <c r="N269">
        <f>SmtRes!AB341</f>
        <v>1305.74</v>
      </c>
      <c r="O269">
        <f>ROUND(ROUND(L269*Source!I336, 2)*SmtRes!DA341, 2)</f>
        <v>23.48</v>
      </c>
      <c r="P269">
        <f>SmtRes!AG341</f>
        <v>10.35</v>
      </c>
      <c r="Q269">
        <f>SmtRes!DC341</f>
        <v>0.31</v>
      </c>
      <c r="R269">
        <f>ROUND(ROUND(Q269*Source!I336, 2)*1, 2)</f>
        <v>0.19</v>
      </c>
      <c r="S269">
        <f>SmtRes!AC341</f>
        <v>365.04</v>
      </c>
      <c r="T269">
        <f>ROUND(ROUND(Q269*Source!I336, 2)*SmtRes!AK341, 2)</f>
        <v>6.7</v>
      </c>
      <c r="U269">
        <v>2</v>
      </c>
      <c r="Z269">
        <f>SmtRes!X341</f>
        <v>-671646184</v>
      </c>
      <c r="AA269">
        <v>807713937</v>
      </c>
      <c r="AB269">
        <v>1619992053</v>
      </c>
    </row>
    <row r="270" spans="1:28" x14ac:dyDescent="0.2">
      <c r="A270">
        <v>20</v>
      </c>
      <c r="B270">
        <v>340</v>
      </c>
      <c r="C270">
        <v>1</v>
      </c>
      <c r="D270">
        <v>0</v>
      </c>
      <c r="E270">
        <f>SmtRes!AV340</f>
        <v>1</v>
      </c>
      <c r="F270" t="str">
        <f>SmtRes!I340</f>
        <v>1-1035-21</v>
      </c>
      <c r="G270" t="str">
        <f>SmtRes!K340</f>
        <v>Рабочий строитель среднего разряда 3,5</v>
      </c>
      <c r="H270" t="str">
        <f>SmtRes!O340</f>
        <v>чел.-ч</v>
      </c>
      <c r="I270">
        <f>SmtRes!Y340*Source!I336</f>
        <v>7.14</v>
      </c>
      <c r="J270">
        <f>SmtRes!AO340</f>
        <v>1</v>
      </c>
      <c r="K270">
        <f>SmtRes!AH340</f>
        <v>8.48</v>
      </c>
      <c r="L270">
        <f>SmtRes!DB340</f>
        <v>100.91</v>
      </c>
      <c r="M270">
        <f>ROUND(ROUND(L270*Source!I336, 2)*1, 2)</f>
        <v>60.55</v>
      </c>
      <c r="N270">
        <f>SmtRes!AD340</f>
        <v>8.48</v>
      </c>
      <c r="O270">
        <f>ROUND(ROUND(L270*Source!I336, 2)*SmtRes!DA340, 2)</f>
        <v>60.55</v>
      </c>
      <c r="P270">
        <f>SmtRes!AG340</f>
        <v>0</v>
      </c>
      <c r="Q270">
        <f>SmtRes!DC340</f>
        <v>0</v>
      </c>
      <c r="R270">
        <f>ROUND(ROUND(Q270*Source!I336, 2)*1, 2)</f>
        <v>0</v>
      </c>
      <c r="S270">
        <f>SmtRes!AC340</f>
        <v>0</v>
      </c>
      <c r="T270">
        <f>ROUND(ROUND(Q270*Source!I336, 2)*SmtRes!AK340, 2)</f>
        <v>0</v>
      </c>
      <c r="U270">
        <v>1</v>
      </c>
      <c r="Z270">
        <f>SmtRes!X340</f>
        <v>2002501603</v>
      </c>
      <c r="AA270">
        <v>1980744066</v>
      </c>
      <c r="AB270">
        <v>-1857114646</v>
      </c>
    </row>
    <row r="271" spans="1:28" x14ac:dyDescent="0.2">
      <c r="A271">
        <f>Source!A337</f>
        <v>18</v>
      </c>
      <c r="B271">
        <v>337</v>
      </c>
      <c r="C271">
        <v>3</v>
      </c>
      <c r="D271">
        <f>Source!BI337</f>
        <v>1</v>
      </c>
      <c r="E271">
        <f>Source!FS337</f>
        <v>0</v>
      </c>
      <c r="F271" t="str">
        <f>Source!F337</f>
        <v>101-1714</v>
      </c>
      <c r="G271" t="str">
        <f>Source!G337</f>
        <v>Болты с гайками и шайбами строительные</v>
      </c>
      <c r="H271" t="str">
        <f>Source!H337</f>
        <v>т</v>
      </c>
      <c r="I271">
        <f>Source!I337</f>
        <v>3.0000000000000001E-3</v>
      </c>
      <c r="J271">
        <v>1</v>
      </c>
      <c r="K271">
        <f>Source!AC337</f>
        <v>9040.01</v>
      </c>
      <c r="M271">
        <f>ROUND(K271*I271, 2)</f>
        <v>27.12</v>
      </c>
      <c r="N271">
        <f>Source!AC337*IF(Source!BC337&lt;&gt; 0, Source!BC337, 1)</f>
        <v>208824.23100000003</v>
      </c>
      <c r="O271">
        <f>ROUND(N271*I271, 2)</f>
        <v>626.47</v>
      </c>
      <c r="P271">
        <f>Source!AE337</f>
        <v>0</v>
      </c>
      <c r="R271">
        <f>ROUND(P271*I271, 2)</f>
        <v>0</v>
      </c>
      <c r="S271">
        <f>Source!AE337*IF(Source!BS337&lt;&gt; 0, Source!BS337, 1)</f>
        <v>0</v>
      </c>
      <c r="T271">
        <f>ROUND(S271*I271, 2)</f>
        <v>0</v>
      </c>
      <c r="U271">
        <v>3</v>
      </c>
      <c r="Z271">
        <f>Source!GF337</f>
        <v>-384985709</v>
      </c>
      <c r="AA271">
        <v>1357882990</v>
      </c>
      <c r="AB271">
        <v>-70734932</v>
      </c>
    </row>
    <row r="272" spans="1:28" x14ac:dyDescent="0.2">
      <c r="A272">
        <f>Source!A338</f>
        <v>17</v>
      </c>
      <c r="B272">
        <v>338</v>
      </c>
      <c r="C272">
        <v>3</v>
      </c>
      <c r="D272">
        <f>Source!BI338</f>
        <v>1</v>
      </c>
      <c r="E272">
        <f>Source!FS338</f>
        <v>0</v>
      </c>
      <c r="F272" t="str">
        <f>Source!F338</f>
        <v>116-0503</v>
      </c>
      <c r="G272" t="str">
        <f>Source!G338</f>
        <v>Скамья парковая, размеры 2000х1030х800 мм</v>
      </c>
      <c r="H272" t="str">
        <f>Source!H338</f>
        <v>шт.</v>
      </c>
      <c r="I272">
        <f>Source!I338</f>
        <v>5</v>
      </c>
      <c r="J272">
        <v>1</v>
      </c>
      <c r="K272">
        <f>Source!AC338</f>
        <v>1186.8800000000001</v>
      </c>
      <c r="M272">
        <f>ROUND(K272*I272, 2)</f>
        <v>5934.4</v>
      </c>
      <c r="N272">
        <f>Source!AC338*IF(Source!BC338&lt;&gt; 0, Source!BC338, 1)</f>
        <v>11477.1296</v>
      </c>
      <c r="O272">
        <f>ROUND(N272*I272, 2)</f>
        <v>57385.65</v>
      </c>
      <c r="P272">
        <f>Source!AE338</f>
        <v>0</v>
      </c>
      <c r="R272">
        <f>ROUND(P272*I272, 2)</f>
        <v>0</v>
      </c>
      <c r="S272">
        <f>Source!AE338*IF(Source!BS338&lt;&gt; 0, Source!BS338, 1)</f>
        <v>0</v>
      </c>
      <c r="T272">
        <f>ROUND(S272*I272, 2)</f>
        <v>0</v>
      </c>
      <c r="U272">
        <v>3</v>
      </c>
      <c r="Z272">
        <f>Source!GF338</f>
        <v>-890610490</v>
      </c>
      <c r="AA272">
        <v>-113572494</v>
      </c>
      <c r="AB272">
        <v>1712071410</v>
      </c>
    </row>
    <row r="273" spans="1:28" x14ac:dyDescent="0.2">
      <c r="A273">
        <f>Source!A378</f>
        <v>4</v>
      </c>
      <c r="B273">
        <v>378</v>
      </c>
      <c r="G273" t="str">
        <f>Source!G378</f>
        <v>Помещение</v>
      </c>
    </row>
    <row r="274" spans="1:28" x14ac:dyDescent="0.2">
      <c r="A274">
        <f>Source!A382</f>
        <v>17</v>
      </c>
      <c r="B274">
        <v>382</v>
      </c>
      <c r="C274">
        <v>3</v>
      </c>
      <c r="D274">
        <f>Source!BI382</f>
        <v>1</v>
      </c>
      <c r="E274">
        <f>Source!FS382</f>
        <v>0</v>
      </c>
      <c r="F274" t="str">
        <f>Source!F382</f>
        <v>Прайс</v>
      </c>
      <c r="G274" t="str">
        <f>Source!G382</f>
        <v>Помещение 4х4 м</v>
      </c>
      <c r="H274" t="str">
        <f>Source!H382</f>
        <v>ШТ</v>
      </c>
      <c r="I274">
        <f>Source!I382</f>
        <v>1</v>
      </c>
      <c r="J274">
        <v>1</v>
      </c>
      <c r="K274">
        <f>Source!AC382</f>
        <v>300000</v>
      </c>
      <c r="M274">
        <f>ROUND(K274*I274, 2)</f>
        <v>300000</v>
      </c>
      <c r="N274">
        <f>Source!AC382*IF(Source!BC382&lt;&gt; 0, Source!BC382, 1)</f>
        <v>300000</v>
      </c>
      <c r="O274">
        <f>ROUND(N274*I274, 2)</f>
        <v>300000</v>
      </c>
      <c r="P274">
        <f>Source!AE382</f>
        <v>0</v>
      </c>
      <c r="R274">
        <f>ROUND(P274*I274, 2)</f>
        <v>0</v>
      </c>
      <c r="S274">
        <f>Source!AE382*IF(Source!BS382&lt;&gt; 0, Source!BS382, 1)</f>
        <v>0</v>
      </c>
      <c r="T274">
        <f>ROUND(S274*I274, 2)</f>
        <v>0</v>
      </c>
      <c r="U274">
        <v>3</v>
      </c>
      <c r="Z274">
        <f>Source!GF382</f>
        <v>-1065554310</v>
      </c>
      <c r="AA274">
        <v>-1893600579</v>
      </c>
      <c r="AB274">
        <v>1904567778</v>
      </c>
    </row>
    <row r="275" spans="1:28" x14ac:dyDescent="0.2">
      <c r="A275">
        <f>Source!A422</f>
        <v>4</v>
      </c>
      <c r="B275">
        <v>422</v>
      </c>
      <c r="G275" t="str">
        <f>Source!G422</f>
        <v>Заезд</v>
      </c>
    </row>
    <row r="276" spans="1:28" x14ac:dyDescent="0.2">
      <c r="A276">
        <v>20</v>
      </c>
      <c r="B276">
        <v>347</v>
      </c>
      <c r="C276">
        <v>3</v>
      </c>
      <c r="D276">
        <v>0</v>
      </c>
      <c r="E276">
        <f>SmtRes!AV347</f>
        <v>0</v>
      </c>
      <c r="F276" t="str">
        <f>SmtRes!I347</f>
        <v>408-0015</v>
      </c>
      <c r="G276" t="str">
        <f>SmtRes!K347</f>
        <v>Щебень из природного камня для строительных работ марка 800, фракция 20-40 мм</v>
      </c>
      <c r="H276" t="str">
        <f>SmtRes!O347</f>
        <v>м3</v>
      </c>
      <c r="I276">
        <f>SmtRes!Y347*Source!I426</f>
        <v>4.5600000000000003E-4</v>
      </c>
      <c r="J276">
        <f>SmtRes!AO347</f>
        <v>1</v>
      </c>
      <c r="K276">
        <f>SmtRes!AE347</f>
        <v>269.77</v>
      </c>
      <c r="L276">
        <f>SmtRes!DB347</f>
        <v>10.79</v>
      </c>
      <c r="M276">
        <f>ROUND(ROUND(L276*Source!I426, 2)*1, 2)</f>
        <v>0.12</v>
      </c>
      <c r="N276">
        <f>SmtRes!AA347</f>
        <v>4024.97</v>
      </c>
      <c r="O276">
        <f>ROUND(ROUND(L276*Source!I426, 2)*SmtRes!DA347, 2)</f>
        <v>1.79</v>
      </c>
      <c r="P276">
        <f>SmtRes!AG347</f>
        <v>0</v>
      </c>
      <c r="Q276">
        <f>SmtRes!DC347</f>
        <v>0</v>
      </c>
      <c r="R276">
        <f>ROUND(ROUND(Q276*Source!I426, 2)*1, 2)</f>
        <v>0</v>
      </c>
      <c r="S276">
        <f>SmtRes!AC347</f>
        <v>0</v>
      </c>
      <c r="T276">
        <f>ROUND(ROUND(Q276*Source!I426, 2)*SmtRes!AK347, 2)</f>
        <v>0</v>
      </c>
      <c r="U276">
        <v>3</v>
      </c>
      <c r="Z276">
        <f>SmtRes!X347</f>
        <v>2013269764</v>
      </c>
      <c r="AA276">
        <v>-1653146385</v>
      </c>
      <c r="AB276">
        <v>414565371</v>
      </c>
    </row>
    <row r="277" spans="1:28" x14ac:dyDescent="0.2">
      <c r="A277">
        <v>20</v>
      </c>
      <c r="B277">
        <v>346</v>
      </c>
      <c r="C277">
        <v>2</v>
      </c>
      <c r="D277">
        <v>0</v>
      </c>
      <c r="E277">
        <f>SmtRes!AV346</f>
        <v>0</v>
      </c>
      <c r="F277" t="str">
        <f>SmtRes!I346</f>
        <v>070148</v>
      </c>
      <c r="G277" t="str">
        <f>SmtRes!K346</f>
        <v>Бульдозеры при работе на других видах строительства 59 кВт (80 л.с.)</v>
      </c>
      <c r="H277" t="str">
        <f>SmtRes!O346</f>
        <v>маш.-ч</v>
      </c>
      <c r="I277">
        <f>SmtRes!Y346*Source!I426</f>
        <v>0.19437000000000001</v>
      </c>
      <c r="J277">
        <f>SmtRes!AO346</f>
        <v>1</v>
      </c>
      <c r="K277">
        <f>SmtRes!AF346</f>
        <v>102.49</v>
      </c>
      <c r="L277">
        <f>SmtRes!DB346</f>
        <v>1747.45</v>
      </c>
      <c r="M277">
        <f>ROUND(ROUND(L277*Source!I426, 2)*1, 2)</f>
        <v>19.920000000000002</v>
      </c>
      <c r="N277">
        <f>SmtRes!AB346</f>
        <v>1506.6</v>
      </c>
      <c r="O277">
        <f>ROUND(ROUND(L277*Source!I426, 2)*SmtRes!DA346, 2)</f>
        <v>292.82</v>
      </c>
      <c r="P277">
        <f>SmtRes!AG346</f>
        <v>10.35</v>
      </c>
      <c r="Q277">
        <f>SmtRes!DC346</f>
        <v>176.47</v>
      </c>
      <c r="R277">
        <f>ROUND(ROUND(Q277*Source!I426, 2)*1, 2)</f>
        <v>2.0099999999999998</v>
      </c>
      <c r="S277">
        <f>SmtRes!AC346</f>
        <v>365.04</v>
      </c>
      <c r="T277">
        <f>ROUND(ROUND(Q277*Source!I426, 2)*SmtRes!AK346, 2)</f>
        <v>70.89</v>
      </c>
      <c r="U277">
        <v>2</v>
      </c>
      <c r="Z277">
        <f>SmtRes!X346</f>
        <v>-521383579</v>
      </c>
      <c r="AA277">
        <v>668723209</v>
      </c>
      <c r="AB277">
        <v>836497942</v>
      </c>
    </row>
    <row r="278" spans="1:28" x14ac:dyDescent="0.2">
      <c r="A278">
        <v>20</v>
      </c>
      <c r="B278">
        <v>345</v>
      </c>
      <c r="C278">
        <v>2</v>
      </c>
      <c r="D278">
        <v>0</v>
      </c>
      <c r="E278">
        <f>SmtRes!AV345</f>
        <v>0</v>
      </c>
      <c r="F278" t="str">
        <f>SmtRes!I345</f>
        <v>060337</v>
      </c>
      <c r="G278" t="str">
        <f>SmtRes!K345</f>
        <v>Экскаваторы одноковшовые дизельные на пневмоколесном ходу при работе на других видах строительства 0,25 м3</v>
      </c>
      <c r="H278" t="str">
        <f>SmtRes!O345</f>
        <v>маш.-ч</v>
      </c>
      <c r="I278">
        <f>SmtRes!Y345*Source!I426</f>
        <v>0.83265600000000006</v>
      </c>
      <c r="J278">
        <f>SmtRes!AO345</f>
        <v>1</v>
      </c>
      <c r="K278">
        <f>SmtRes!AF345</f>
        <v>74</v>
      </c>
      <c r="L278">
        <f>SmtRes!DB345</f>
        <v>5404.96</v>
      </c>
      <c r="M278">
        <f>ROUND(ROUND(L278*Source!I426, 2)*1, 2)</f>
        <v>61.62</v>
      </c>
      <c r="N278">
        <f>SmtRes!AB345</f>
        <v>1396.38</v>
      </c>
      <c r="O278">
        <f>ROUND(ROUND(L278*Source!I426, 2)*SmtRes!DA345, 2)</f>
        <v>1162.77</v>
      </c>
      <c r="P278">
        <f>SmtRes!AG345</f>
        <v>10.35</v>
      </c>
      <c r="Q278">
        <f>SmtRes!DC345</f>
        <v>755.96</v>
      </c>
      <c r="R278">
        <f>ROUND(ROUND(Q278*Source!I426, 2)*1, 2)</f>
        <v>8.6199999999999992</v>
      </c>
      <c r="S278">
        <f>SmtRes!AC345</f>
        <v>365.04</v>
      </c>
      <c r="T278">
        <f>ROUND(ROUND(Q278*Source!I426, 2)*SmtRes!AK345, 2)</f>
        <v>304.02999999999997</v>
      </c>
      <c r="U278">
        <v>2</v>
      </c>
      <c r="Z278">
        <f>SmtRes!X345</f>
        <v>-242827276</v>
      </c>
      <c r="AA278">
        <v>-120847363</v>
      </c>
      <c r="AB278">
        <v>-309073364</v>
      </c>
    </row>
    <row r="279" spans="1:28" x14ac:dyDescent="0.2">
      <c r="A279">
        <v>20</v>
      </c>
      <c r="B279">
        <v>343</v>
      </c>
      <c r="C279">
        <v>1</v>
      </c>
      <c r="D279">
        <v>0</v>
      </c>
      <c r="E279">
        <f>SmtRes!AV343</f>
        <v>1</v>
      </c>
      <c r="F279" t="str">
        <f>SmtRes!I343</f>
        <v>1-1020-21</v>
      </c>
      <c r="G279" t="str">
        <f>SmtRes!K343</f>
        <v>Рабочий строитель среднего разряда 2</v>
      </c>
      <c r="H279" t="str">
        <f>SmtRes!O343</f>
        <v>чел.-ч</v>
      </c>
      <c r="I279">
        <f>SmtRes!Y343*Source!I426</f>
        <v>0.35704800000000003</v>
      </c>
      <c r="J279">
        <f>SmtRes!AO343</f>
        <v>1</v>
      </c>
      <c r="K279">
        <f>SmtRes!AH343</f>
        <v>7.29</v>
      </c>
      <c r="L279">
        <f>SmtRes!DB343</f>
        <v>228.32</v>
      </c>
      <c r="M279">
        <f>ROUND(ROUND(L279*Source!I426, 2)*1, 2)</f>
        <v>2.6</v>
      </c>
      <c r="N279">
        <f>SmtRes!AD343</f>
        <v>7.29</v>
      </c>
      <c r="O279">
        <f>ROUND(ROUND(L279*Source!I426, 2)*SmtRes!DA343, 2)</f>
        <v>2.6</v>
      </c>
      <c r="P279">
        <f>SmtRes!AG343</f>
        <v>0</v>
      </c>
      <c r="Q279">
        <f>SmtRes!DC343</f>
        <v>0</v>
      </c>
      <c r="R279">
        <f>ROUND(ROUND(Q279*Source!I426, 2)*1, 2)</f>
        <v>0</v>
      </c>
      <c r="S279">
        <f>SmtRes!AC343</f>
        <v>0</v>
      </c>
      <c r="T279">
        <f>ROUND(ROUND(Q279*Source!I426, 2)*SmtRes!AK343, 2)</f>
        <v>0</v>
      </c>
      <c r="U279">
        <v>1</v>
      </c>
      <c r="Z279">
        <f>SmtRes!X343</f>
        <v>1250814213</v>
      </c>
      <c r="AA279">
        <v>777447757</v>
      </c>
      <c r="AB279">
        <v>-1697901350</v>
      </c>
    </row>
    <row r="280" spans="1:28" x14ac:dyDescent="0.2">
      <c r="A280">
        <v>20</v>
      </c>
      <c r="B280">
        <v>355</v>
      </c>
      <c r="C280">
        <v>3</v>
      </c>
      <c r="D280">
        <v>0</v>
      </c>
      <c r="E280">
        <f>SmtRes!AV355</f>
        <v>0</v>
      </c>
      <c r="F280" t="str">
        <f>SmtRes!I355</f>
        <v>411-0001</v>
      </c>
      <c r="G280" t="str">
        <f>SmtRes!K355</f>
        <v>Вода</v>
      </c>
      <c r="H280" t="str">
        <f>SmtRes!O355</f>
        <v>м3</v>
      </c>
      <c r="I280">
        <f>SmtRes!Y355*Source!I427</f>
        <v>0.22499999999999998</v>
      </c>
      <c r="J280">
        <f>SmtRes!AO355</f>
        <v>1</v>
      </c>
      <c r="K280">
        <f>SmtRes!AE355</f>
        <v>2.4700000000000002</v>
      </c>
      <c r="L280">
        <f>SmtRes!DB355</f>
        <v>12.35</v>
      </c>
      <c r="M280">
        <f>ROUND(ROUND(L280*Source!I427, 2)*1, 2)</f>
        <v>0.56000000000000005</v>
      </c>
      <c r="N280">
        <f>SmtRes!AA355</f>
        <v>19.59</v>
      </c>
      <c r="O280">
        <f>ROUND(ROUND(L280*Source!I427, 2)*SmtRes!DA355, 2)</f>
        <v>4.4400000000000004</v>
      </c>
      <c r="P280">
        <f>SmtRes!AG355</f>
        <v>0</v>
      </c>
      <c r="Q280">
        <f>SmtRes!DC355</f>
        <v>0</v>
      </c>
      <c r="R280">
        <f>ROUND(ROUND(Q280*Source!I427, 2)*1, 2)</f>
        <v>0</v>
      </c>
      <c r="S280">
        <f>SmtRes!AC355</f>
        <v>0</v>
      </c>
      <c r="T280">
        <f>ROUND(ROUND(Q280*Source!I427, 2)*SmtRes!AK355, 2)</f>
        <v>0</v>
      </c>
      <c r="U280">
        <v>3</v>
      </c>
      <c r="Z280">
        <f>SmtRes!X355</f>
        <v>-1418712732</v>
      </c>
      <c r="AA280">
        <v>-1607643924</v>
      </c>
      <c r="AB280">
        <v>868455164</v>
      </c>
    </row>
    <row r="281" spans="1:28" x14ac:dyDescent="0.2">
      <c r="A281">
        <v>20</v>
      </c>
      <c r="B281">
        <v>353</v>
      </c>
      <c r="C281">
        <v>2</v>
      </c>
      <c r="D281">
        <v>0</v>
      </c>
      <c r="E281">
        <f>SmtRes!AV353</f>
        <v>0</v>
      </c>
      <c r="F281" t="str">
        <f>SmtRes!I353</f>
        <v>121601</v>
      </c>
      <c r="G281" t="str">
        <f>SmtRes!K353</f>
        <v>Машины поливомоечные 6000 л</v>
      </c>
      <c r="H281" t="str">
        <f>SmtRes!O353</f>
        <v>маш.-ч</v>
      </c>
      <c r="I281">
        <f>SmtRes!Y353*Source!I427</f>
        <v>3.3299999999999996E-2</v>
      </c>
      <c r="J281">
        <f>SmtRes!AO353</f>
        <v>1</v>
      </c>
      <c r="K281">
        <f>SmtRes!AF353</f>
        <v>119.25</v>
      </c>
      <c r="L281">
        <f>SmtRes!DB353</f>
        <v>88.25</v>
      </c>
      <c r="M281">
        <f>ROUND(ROUND(L281*Source!I427, 2)*1, 2)</f>
        <v>3.97</v>
      </c>
      <c r="N281">
        <f>SmtRes!AB353</f>
        <v>1562.18</v>
      </c>
      <c r="O281">
        <f>ROUND(ROUND(L281*Source!I427, 2)*SmtRes!DA353, 2)</f>
        <v>52.01</v>
      </c>
      <c r="P281">
        <f>SmtRes!AG353</f>
        <v>10.35</v>
      </c>
      <c r="Q281">
        <f>SmtRes!DC353</f>
        <v>7.66</v>
      </c>
      <c r="R281">
        <f>ROUND(ROUND(Q281*Source!I427, 2)*1, 2)</f>
        <v>0.34</v>
      </c>
      <c r="S281">
        <f>SmtRes!AC353</f>
        <v>365.04</v>
      </c>
      <c r="T281">
        <f>ROUND(ROUND(Q281*Source!I427, 2)*SmtRes!AK353, 2)</f>
        <v>11.99</v>
      </c>
      <c r="U281">
        <v>2</v>
      </c>
      <c r="Z281">
        <f>SmtRes!X353</f>
        <v>1797372022</v>
      </c>
      <c r="AA281">
        <v>127107692</v>
      </c>
      <c r="AB281">
        <v>-557055019</v>
      </c>
    </row>
    <row r="282" spans="1:28" x14ac:dyDescent="0.2">
      <c r="A282">
        <v>20</v>
      </c>
      <c r="B282">
        <v>352</v>
      </c>
      <c r="C282">
        <v>2</v>
      </c>
      <c r="D282">
        <v>0</v>
      </c>
      <c r="E282">
        <f>SmtRes!AV352</f>
        <v>0</v>
      </c>
      <c r="F282" t="str">
        <f>SmtRes!I352</f>
        <v>120911</v>
      </c>
      <c r="G282" t="str">
        <f>SmtRes!K352</f>
        <v>Катки на пневмоколесном ходу 30 т</v>
      </c>
      <c r="H282" t="str">
        <f>SmtRes!O352</f>
        <v>маш.-ч</v>
      </c>
      <c r="I282">
        <f>SmtRes!Y352*Source!I427</f>
        <v>0.31859999999999999</v>
      </c>
      <c r="J282">
        <f>SmtRes!AO352</f>
        <v>1</v>
      </c>
      <c r="K282">
        <f>SmtRes!AF352</f>
        <v>210.32</v>
      </c>
      <c r="L282">
        <f>SmtRes!DB352</f>
        <v>1489.07</v>
      </c>
      <c r="M282">
        <f>ROUND(ROUND(L282*Source!I427, 2)*1, 2)</f>
        <v>67.010000000000005</v>
      </c>
      <c r="N282">
        <f>SmtRes!AB352</f>
        <v>3076.98</v>
      </c>
      <c r="O282">
        <f>ROUND(ROUND(L282*Source!I427, 2)*SmtRes!DA352, 2)</f>
        <v>980.36</v>
      </c>
      <c r="P282">
        <f>SmtRes!AG352</f>
        <v>12.9</v>
      </c>
      <c r="Q282">
        <f>SmtRes!DC352</f>
        <v>91.33</v>
      </c>
      <c r="R282">
        <f>ROUND(ROUND(Q282*Source!I427, 2)*1, 2)</f>
        <v>4.1100000000000003</v>
      </c>
      <c r="S282">
        <f>SmtRes!AC352</f>
        <v>454.98</v>
      </c>
      <c r="T282">
        <f>ROUND(ROUND(Q282*Source!I427, 2)*SmtRes!AK352, 2)</f>
        <v>144.96</v>
      </c>
      <c r="U282">
        <v>2</v>
      </c>
      <c r="Z282">
        <f>SmtRes!X352</f>
        <v>-1765436741</v>
      </c>
      <c r="AA282">
        <v>-1961767982</v>
      </c>
      <c r="AB282">
        <v>468207442</v>
      </c>
    </row>
    <row r="283" spans="1:28" x14ac:dyDescent="0.2">
      <c r="A283">
        <v>20</v>
      </c>
      <c r="B283">
        <v>351</v>
      </c>
      <c r="C283">
        <v>2</v>
      </c>
      <c r="D283">
        <v>0</v>
      </c>
      <c r="E283">
        <f>SmtRes!AV351</f>
        <v>0</v>
      </c>
      <c r="F283" t="str">
        <f>SmtRes!I351</f>
        <v>120202</v>
      </c>
      <c r="G283" t="str">
        <f>SmtRes!K351</f>
        <v>Автогрейдеры среднего типа 99 кВт (135 л.с.)</v>
      </c>
      <c r="H283" t="str">
        <f>SmtRes!O351</f>
        <v>маш.-ч</v>
      </c>
      <c r="I283">
        <f>SmtRes!Y351*Source!I427</f>
        <v>7.9649999999999999E-2</v>
      </c>
      <c r="J283">
        <f>SmtRes!AO351</f>
        <v>1</v>
      </c>
      <c r="K283">
        <f>SmtRes!AF351</f>
        <v>155.09</v>
      </c>
      <c r="L283">
        <f>SmtRes!DB351</f>
        <v>274.51</v>
      </c>
      <c r="M283">
        <f>ROUND(ROUND(L283*Source!I427, 2)*1, 2)</f>
        <v>12.35</v>
      </c>
      <c r="N283">
        <f>SmtRes!AB351</f>
        <v>2357.37</v>
      </c>
      <c r="O283">
        <f>ROUND(ROUND(L283*Source!I427, 2)*SmtRes!DA351, 2)</f>
        <v>187.72</v>
      </c>
      <c r="P283">
        <f>SmtRes!AG351</f>
        <v>12.1</v>
      </c>
      <c r="Q283">
        <f>SmtRes!DC351</f>
        <v>21.42</v>
      </c>
      <c r="R283">
        <f>ROUND(ROUND(Q283*Source!I427, 2)*1, 2)</f>
        <v>0.96</v>
      </c>
      <c r="S283">
        <f>SmtRes!AC351</f>
        <v>426.77</v>
      </c>
      <c r="T283">
        <f>ROUND(ROUND(Q283*Source!I427, 2)*SmtRes!AK351, 2)</f>
        <v>33.86</v>
      </c>
      <c r="U283">
        <v>2</v>
      </c>
      <c r="Z283">
        <f>SmtRes!X351</f>
        <v>-769434373</v>
      </c>
      <c r="AA283">
        <v>137259497</v>
      </c>
      <c r="AB283">
        <v>151427480</v>
      </c>
    </row>
    <row r="284" spans="1:28" x14ac:dyDescent="0.2">
      <c r="A284">
        <v>20</v>
      </c>
      <c r="B284">
        <v>350</v>
      </c>
      <c r="C284">
        <v>2</v>
      </c>
      <c r="D284">
        <v>0</v>
      </c>
      <c r="E284">
        <f>SmtRes!AV350</f>
        <v>0</v>
      </c>
      <c r="F284" t="str">
        <f>SmtRes!I350</f>
        <v>030101</v>
      </c>
      <c r="G284" t="str">
        <f>SmtRes!K350</f>
        <v>Автопогрузчики 5 т</v>
      </c>
      <c r="H284" t="str">
        <f>SmtRes!O350</f>
        <v>маш.-ч</v>
      </c>
      <c r="I284">
        <f>SmtRes!Y350*Source!I427</f>
        <v>0.19305</v>
      </c>
      <c r="J284">
        <f>SmtRes!AO350</f>
        <v>1</v>
      </c>
      <c r="K284">
        <f>SmtRes!AF350</f>
        <v>87.24</v>
      </c>
      <c r="L284">
        <f>SmtRes!DB350</f>
        <v>374.26</v>
      </c>
      <c r="M284">
        <f>ROUND(ROUND(L284*Source!I427, 2)*1, 2)</f>
        <v>16.84</v>
      </c>
      <c r="N284">
        <f>SmtRes!AB350</f>
        <v>2230.73</v>
      </c>
      <c r="O284">
        <f>ROUND(ROUND(L284*Source!I427, 2)*SmtRes!DA350, 2)</f>
        <v>430.6</v>
      </c>
      <c r="P284">
        <f>SmtRes!AG350</f>
        <v>9</v>
      </c>
      <c r="Q284">
        <f>SmtRes!DC350</f>
        <v>38.61</v>
      </c>
      <c r="R284">
        <f>ROUND(ROUND(Q284*Source!I427, 2)*1, 2)</f>
        <v>1.74</v>
      </c>
      <c r="S284">
        <f>SmtRes!AC350</f>
        <v>317.43</v>
      </c>
      <c r="T284">
        <f>ROUND(ROUND(Q284*Source!I427, 2)*SmtRes!AK350, 2)</f>
        <v>61.37</v>
      </c>
      <c r="U284">
        <v>2</v>
      </c>
      <c r="Z284">
        <f>SmtRes!X350</f>
        <v>-674318163</v>
      </c>
      <c r="AA284">
        <v>-1657392001</v>
      </c>
      <c r="AB284">
        <v>-771525458</v>
      </c>
    </row>
    <row r="285" spans="1:28" x14ac:dyDescent="0.2">
      <c r="A285">
        <v>20</v>
      </c>
      <c r="B285">
        <v>348</v>
      </c>
      <c r="C285">
        <v>1</v>
      </c>
      <c r="D285">
        <v>0</v>
      </c>
      <c r="E285">
        <f>SmtRes!AV348</f>
        <v>1</v>
      </c>
      <c r="F285" t="str">
        <f>SmtRes!I348</f>
        <v>1-1023-21</v>
      </c>
      <c r="G285" t="str">
        <f>SmtRes!K348</f>
        <v>Рабочий строитель среднего разряда 2,3</v>
      </c>
      <c r="H285" t="str">
        <f>SmtRes!O348</f>
        <v>чел.-ч</v>
      </c>
      <c r="I285">
        <f>SmtRes!Y348*Source!I427</f>
        <v>0.70740000000000003</v>
      </c>
      <c r="J285">
        <f>SmtRes!AO348</f>
        <v>1</v>
      </c>
      <c r="K285">
        <f>SmtRes!AH348</f>
        <v>7.49</v>
      </c>
      <c r="L285">
        <f>SmtRes!DB348</f>
        <v>117.74</v>
      </c>
      <c r="M285">
        <f>ROUND(ROUND(L285*Source!I427, 2)*1, 2)</f>
        <v>5.3</v>
      </c>
      <c r="N285">
        <f>SmtRes!AD348</f>
        <v>7.49</v>
      </c>
      <c r="O285">
        <f>ROUND(ROUND(L285*Source!I427, 2)*SmtRes!DA348, 2)</f>
        <v>5.3</v>
      </c>
      <c r="P285">
        <f>SmtRes!AG348</f>
        <v>0</v>
      </c>
      <c r="Q285">
        <f>SmtRes!DC348</f>
        <v>0</v>
      </c>
      <c r="R285">
        <f>ROUND(ROUND(Q285*Source!I427, 2)*1, 2)</f>
        <v>0</v>
      </c>
      <c r="S285">
        <f>SmtRes!AC348</f>
        <v>0</v>
      </c>
      <c r="T285">
        <f>ROUND(ROUND(Q285*Source!I427, 2)*SmtRes!AK348, 2)</f>
        <v>0</v>
      </c>
      <c r="U285">
        <v>1</v>
      </c>
      <c r="Z285">
        <f>SmtRes!X348</f>
        <v>-1903398286</v>
      </c>
      <c r="AA285">
        <v>-721303525</v>
      </c>
      <c r="AB285">
        <v>-1278510661</v>
      </c>
    </row>
    <row r="286" spans="1:28" x14ac:dyDescent="0.2">
      <c r="A286">
        <f>Source!A429</f>
        <v>17</v>
      </c>
      <c r="B286">
        <v>429</v>
      </c>
      <c r="C286">
        <v>3</v>
      </c>
      <c r="D286">
        <f>Source!BI429</f>
        <v>1</v>
      </c>
      <c r="E286">
        <f>Source!FS429</f>
        <v>0</v>
      </c>
      <c r="F286" t="str">
        <f>Source!F429</f>
        <v>408-0124</v>
      </c>
      <c r="G286" t="str">
        <f>Source!G429</f>
        <v>Песок природный для строительных работ мелкий</v>
      </c>
      <c r="H286" t="str">
        <f>Source!H429</f>
        <v>м3</v>
      </c>
      <c r="I286">
        <f>Source!I429</f>
        <v>4.95</v>
      </c>
      <c r="J286">
        <v>1</v>
      </c>
      <c r="K286">
        <f>Source!AC429</f>
        <v>54</v>
      </c>
      <c r="M286">
        <f>ROUND(K286*I286, 2)</f>
        <v>267.3</v>
      </c>
      <c r="N286">
        <f>Source!AC429*IF(Source!BC429&lt;&gt; 0, Source!BC429, 1)</f>
        <v>866.16</v>
      </c>
      <c r="O286">
        <f>ROUND(N286*I286, 2)</f>
        <v>4287.49</v>
      </c>
      <c r="P286">
        <f>Source!AE429</f>
        <v>0</v>
      </c>
      <c r="R286">
        <f>ROUND(P286*I286, 2)</f>
        <v>0</v>
      </c>
      <c r="S286">
        <f>Source!AE429*IF(Source!BS429&lt;&gt; 0, Source!BS429, 1)</f>
        <v>0</v>
      </c>
      <c r="T286">
        <f>ROUND(S286*I286, 2)</f>
        <v>0</v>
      </c>
      <c r="U286">
        <v>3</v>
      </c>
      <c r="Z286">
        <f>Source!GF429</f>
        <v>-659917486</v>
      </c>
      <c r="AA286">
        <v>-1505703642</v>
      </c>
      <c r="AB286">
        <v>-1560020902</v>
      </c>
    </row>
    <row r="287" spans="1:28" x14ac:dyDescent="0.2">
      <c r="A287">
        <v>20</v>
      </c>
      <c r="B287">
        <v>367</v>
      </c>
      <c r="C287">
        <v>3</v>
      </c>
      <c r="D287">
        <v>0</v>
      </c>
      <c r="E287">
        <f>SmtRes!AV367</f>
        <v>0</v>
      </c>
      <c r="F287" t="str">
        <f>SmtRes!I367</f>
        <v>411-0001</v>
      </c>
      <c r="G287" t="str">
        <f>SmtRes!K367</f>
        <v>Вода</v>
      </c>
      <c r="H287" t="str">
        <f>SmtRes!O367</f>
        <v>м3</v>
      </c>
      <c r="I287">
        <f>SmtRes!Y367*Source!I430</f>
        <v>0.89999999999999991</v>
      </c>
      <c r="J287">
        <f>SmtRes!AO367</f>
        <v>1</v>
      </c>
      <c r="K287">
        <f>SmtRes!AE367</f>
        <v>2.4700000000000002</v>
      </c>
      <c r="L287">
        <f>SmtRes!DB367</f>
        <v>74.099999999999994</v>
      </c>
      <c r="M287">
        <f>ROUND(ROUND(L287*Source!I430, 2)*1, 2)</f>
        <v>2.2200000000000002</v>
      </c>
      <c r="N287">
        <f>SmtRes!AA367</f>
        <v>19.59</v>
      </c>
      <c r="O287">
        <f>ROUND(ROUND(L287*Source!I430, 2)*SmtRes!DA367, 2)</f>
        <v>17.600000000000001</v>
      </c>
      <c r="P287">
        <f>SmtRes!AG367</f>
        <v>0</v>
      </c>
      <c r="Q287">
        <f>SmtRes!DC367</f>
        <v>0</v>
      </c>
      <c r="R287">
        <f>ROUND(ROUND(Q287*Source!I430, 2)*1, 2)</f>
        <v>0</v>
      </c>
      <c r="S287">
        <f>SmtRes!AC367</f>
        <v>0</v>
      </c>
      <c r="T287">
        <f>ROUND(ROUND(Q287*Source!I430, 2)*SmtRes!AK367, 2)</f>
        <v>0</v>
      </c>
      <c r="U287">
        <v>3</v>
      </c>
      <c r="Z287">
        <f>SmtRes!X367</f>
        <v>-1418712732</v>
      </c>
      <c r="AA287">
        <v>-1607643924</v>
      </c>
      <c r="AB287">
        <v>868455164</v>
      </c>
    </row>
    <row r="288" spans="1:28" x14ac:dyDescent="0.2">
      <c r="A288">
        <v>20</v>
      </c>
      <c r="B288">
        <v>366</v>
      </c>
      <c r="C288">
        <v>3</v>
      </c>
      <c r="D288">
        <v>0</v>
      </c>
      <c r="E288">
        <f>SmtRes!AV366</f>
        <v>0</v>
      </c>
      <c r="F288" t="str">
        <f>SmtRes!I366</f>
        <v>408-0016</v>
      </c>
      <c r="G288" t="str">
        <f>SmtRes!K366</f>
        <v>Щебень из природного камня для строительных работ марка 800, фракция 40-70 мм</v>
      </c>
      <c r="H288" t="str">
        <f>SmtRes!O366</f>
        <v>м3</v>
      </c>
      <c r="I288">
        <f>SmtRes!Y366*Source!I430</f>
        <v>5.67</v>
      </c>
      <c r="J288">
        <f>SmtRes!AO366</f>
        <v>1</v>
      </c>
      <c r="K288">
        <f>SmtRes!AE366</f>
        <v>256.51</v>
      </c>
      <c r="L288">
        <f>SmtRes!DB366</f>
        <v>48480.39</v>
      </c>
      <c r="M288">
        <f>ROUND(ROUND(L288*Source!I430, 2)*1, 2)</f>
        <v>1454.41</v>
      </c>
      <c r="N288">
        <f>SmtRes!AA366</f>
        <v>3583.44</v>
      </c>
      <c r="O288">
        <f>ROUND(ROUND(L288*Source!I430, 2)*SmtRes!DA366, 2)</f>
        <v>20318.11</v>
      </c>
      <c r="P288">
        <f>SmtRes!AG366</f>
        <v>0</v>
      </c>
      <c r="Q288">
        <f>SmtRes!DC366</f>
        <v>0</v>
      </c>
      <c r="R288">
        <f>ROUND(ROUND(Q288*Source!I430, 2)*1, 2)</f>
        <v>0</v>
      </c>
      <c r="S288">
        <f>SmtRes!AC366</f>
        <v>0</v>
      </c>
      <c r="T288">
        <f>ROUND(ROUND(Q288*Source!I430, 2)*SmtRes!AK366, 2)</f>
        <v>0</v>
      </c>
      <c r="U288">
        <v>3</v>
      </c>
      <c r="Z288">
        <f>SmtRes!X366</f>
        <v>-1461224401</v>
      </c>
      <c r="AA288">
        <v>-790453927</v>
      </c>
      <c r="AB288">
        <v>279751284</v>
      </c>
    </row>
    <row r="289" spans="1:28" x14ac:dyDescent="0.2">
      <c r="A289">
        <v>20</v>
      </c>
      <c r="B289">
        <v>365</v>
      </c>
      <c r="C289">
        <v>3</v>
      </c>
      <c r="D289">
        <v>0</v>
      </c>
      <c r="E289">
        <f>SmtRes!AV365</f>
        <v>0</v>
      </c>
      <c r="F289" t="str">
        <f>SmtRes!I365</f>
        <v>408-0014</v>
      </c>
      <c r="G289" t="str">
        <f>SmtRes!K365</f>
        <v>Щебень из природного камня для строительных работ марка 800, фракция 10-20 мм</v>
      </c>
      <c r="H289" t="str">
        <f>SmtRes!O365</f>
        <v>м3</v>
      </c>
      <c r="I289">
        <f>SmtRes!Y365*Source!I430</f>
        <v>0.44999999999999996</v>
      </c>
      <c r="J289">
        <f>SmtRes!AO365</f>
        <v>1</v>
      </c>
      <c r="K289">
        <f>SmtRes!AE365</f>
        <v>276.91000000000003</v>
      </c>
      <c r="L289">
        <f>SmtRes!DB365</f>
        <v>4153.6499999999996</v>
      </c>
      <c r="M289">
        <f>ROUND(ROUND(L289*Source!I430, 2)*1, 2)</f>
        <v>124.61</v>
      </c>
      <c r="N289">
        <f>SmtRes!AA365</f>
        <v>3968.12</v>
      </c>
      <c r="O289">
        <f>ROUND(ROUND(L289*Source!I430, 2)*SmtRes!DA365, 2)</f>
        <v>1785.66</v>
      </c>
      <c r="P289">
        <f>SmtRes!AG365</f>
        <v>0</v>
      </c>
      <c r="Q289">
        <f>SmtRes!DC365</f>
        <v>0</v>
      </c>
      <c r="R289">
        <f>ROUND(ROUND(Q289*Source!I430, 2)*1, 2)</f>
        <v>0</v>
      </c>
      <c r="S289">
        <f>SmtRes!AC365</f>
        <v>0</v>
      </c>
      <c r="T289">
        <f>ROUND(ROUND(Q289*Source!I430, 2)*SmtRes!AK365, 2)</f>
        <v>0</v>
      </c>
      <c r="U289">
        <v>3</v>
      </c>
      <c r="Z289">
        <f>SmtRes!X365</f>
        <v>734935176</v>
      </c>
      <c r="AA289">
        <v>1474122604</v>
      </c>
      <c r="AB289">
        <v>1564479612</v>
      </c>
    </row>
    <row r="290" spans="1:28" x14ac:dyDescent="0.2">
      <c r="A290">
        <v>20</v>
      </c>
      <c r="B290">
        <v>364</v>
      </c>
      <c r="C290">
        <v>2</v>
      </c>
      <c r="D290">
        <v>0</v>
      </c>
      <c r="E290">
        <f>SmtRes!AV364</f>
        <v>0</v>
      </c>
      <c r="F290" t="str">
        <f>SmtRes!I364</f>
        <v>121803</v>
      </c>
      <c r="G290" t="str">
        <f>SmtRes!K364</f>
        <v>Распределители каменной мелочи</v>
      </c>
      <c r="H290" t="str">
        <f>SmtRes!O364</f>
        <v>маш.-ч</v>
      </c>
      <c r="I290">
        <f>SmtRes!Y364*Source!I430</f>
        <v>1.95E-2</v>
      </c>
      <c r="J290">
        <f>SmtRes!AO364</f>
        <v>1</v>
      </c>
      <c r="K290">
        <f>SmtRes!AF364</f>
        <v>126.1</v>
      </c>
      <c r="L290">
        <f>SmtRes!DB364</f>
        <v>81.97</v>
      </c>
      <c r="M290">
        <f>ROUND(ROUND(L290*Source!I430, 2)*1, 2)</f>
        <v>2.46</v>
      </c>
      <c r="N290">
        <f>SmtRes!AB364</f>
        <v>1112.2</v>
      </c>
      <c r="O290">
        <f>ROUND(ROUND(L290*Source!I430, 2)*SmtRes!DA364, 2)</f>
        <v>21.7</v>
      </c>
      <c r="P290">
        <f>SmtRes!AG364</f>
        <v>12.1</v>
      </c>
      <c r="Q290">
        <f>SmtRes!DC364</f>
        <v>7.87</v>
      </c>
      <c r="R290">
        <f>ROUND(ROUND(Q290*Source!I430, 2)*1, 2)</f>
        <v>0.24</v>
      </c>
      <c r="S290">
        <f>SmtRes!AC364</f>
        <v>426.77</v>
      </c>
      <c r="T290">
        <f>ROUND(ROUND(Q290*Source!I430, 2)*SmtRes!AK364, 2)</f>
        <v>8.4600000000000009</v>
      </c>
      <c r="U290">
        <v>2</v>
      </c>
      <c r="Z290">
        <f>SmtRes!X364</f>
        <v>-928177937</v>
      </c>
      <c r="AA290">
        <v>432061982</v>
      </c>
      <c r="AB290">
        <v>1308977173</v>
      </c>
    </row>
    <row r="291" spans="1:28" x14ac:dyDescent="0.2">
      <c r="A291">
        <v>20</v>
      </c>
      <c r="B291">
        <v>363</v>
      </c>
      <c r="C291">
        <v>2</v>
      </c>
      <c r="D291">
        <v>0</v>
      </c>
      <c r="E291">
        <f>SmtRes!AV363</f>
        <v>0</v>
      </c>
      <c r="F291" t="str">
        <f>SmtRes!I363</f>
        <v>121601</v>
      </c>
      <c r="G291" t="str">
        <f>SmtRes!K363</f>
        <v>Машины поливомоечные 6000 л</v>
      </c>
      <c r="H291" t="str">
        <f>SmtRes!O363</f>
        <v>маш.-ч</v>
      </c>
      <c r="I291">
        <f>SmtRes!Y363*Source!I430</f>
        <v>8.879999999999999E-2</v>
      </c>
      <c r="J291">
        <f>SmtRes!AO363</f>
        <v>1</v>
      </c>
      <c r="K291">
        <f>SmtRes!AF363</f>
        <v>119.25</v>
      </c>
      <c r="L291">
        <f>SmtRes!DB363</f>
        <v>352.98</v>
      </c>
      <c r="M291">
        <f>ROUND(ROUND(L291*Source!I430, 2)*1, 2)</f>
        <v>10.59</v>
      </c>
      <c r="N291">
        <f>SmtRes!AB363</f>
        <v>1562.18</v>
      </c>
      <c r="O291">
        <f>ROUND(ROUND(L291*Source!I430, 2)*SmtRes!DA363, 2)</f>
        <v>138.72999999999999</v>
      </c>
      <c r="P291">
        <f>SmtRes!AG363</f>
        <v>10.35</v>
      </c>
      <c r="Q291">
        <f>SmtRes!DC363</f>
        <v>30.64</v>
      </c>
      <c r="R291">
        <f>ROUND(ROUND(Q291*Source!I430, 2)*1, 2)</f>
        <v>0.92</v>
      </c>
      <c r="S291">
        <f>SmtRes!AC363</f>
        <v>365.04</v>
      </c>
      <c r="T291">
        <f>ROUND(ROUND(Q291*Source!I430, 2)*SmtRes!AK363, 2)</f>
        <v>32.450000000000003</v>
      </c>
      <c r="U291">
        <v>2</v>
      </c>
      <c r="Z291">
        <f>SmtRes!X363</f>
        <v>1797372022</v>
      </c>
      <c r="AA291">
        <v>127107692</v>
      </c>
      <c r="AB291">
        <v>-557055019</v>
      </c>
    </row>
    <row r="292" spans="1:28" x14ac:dyDescent="0.2">
      <c r="A292">
        <v>20</v>
      </c>
      <c r="B292">
        <v>362</v>
      </c>
      <c r="C292">
        <v>2</v>
      </c>
      <c r="D292">
        <v>0</v>
      </c>
      <c r="E292">
        <f>SmtRes!AV362</f>
        <v>0</v>
      </c>
      <c r="F292" t="str">
        <f>SmtRes!I362</f>
        <v>120907</v>
      </c>
      <c r="G292" t="str">
        <f>SmtRes!K362</f>
        <v>Катки дорожные самоходные гладкие 13 т</v>
      </c>
      <c r="H292" t="str">
        <f>SmtRes!O362</f>
        <v>маш.-ч</v>
      </c>
      <c r="I292">
        <f>SmtRes!Y362*Source!I430</f>
        <v>0.64979999999999993</v>
      </c>
      <c r="J292">
        <f>SmtRes!AO362</f>
        <v>1</v>
      </c>
      <c r="K292">
        <f>SmtRes!AF362</f>
        <v>95.99</v>
      </c>
      <c r="L292">
        <f>SmtRes!DB362</f>
        <v>2079.14</v>
      </c>
      <c r="M292">
        <f>ROUND(ROUND(L292*Source!I430, 2)*1, 2)</f>
        <v>62.37</v>
      </c>
      <c r="N292">
        <f>SmtRes!AB362</f>
        <v>2491.9</v>
      </c>
      <c r="O292">
        <f>ROUND(ROUND(L292*Source!I430, 2)*SmtRes!DA362, 2)</f>
        <v>1619.13</v>
      </c>
      <c r="P292">
        <f>SmtRes!AG362</f>
        <v>12.9</v>
      </c>
      <c r="Q292">
        <f>SmtRes!DC362</f>
        <v>279.41000000000003</v>
      </c>
      <c r="R292">
        <f>ROUND(ROUND(Q292*Source!I430, 2)*1, 2)</f>
        <v>8.3800000000000008</v>
      </c>
      <c r="S292">
        <f>SmtRes!AC362</f>
        <v>454.98</v>
      </c>
      <c r="T292">
        <f>ROUND(ROUND(Q292*Source!I430, 2)*SmtRes!AK362, 2)</f>
        <v>295.56</v>
      </c>
      <c r="U292">
        <v>2</v>
      </c>
      <c r="Z292">
        <f>SmtRes!X362</f>
        <v>154705608</v>
      </c>
      <c r="AA292">
        <v>-1243226740</v>
      </c>
      <c r="AB292">
        <v>510355178</v>
      </c>
    </row>
    <row r="293" spans="1:28" x14ac:dyDescent="0.2">
      <c r="A293">
        <v>20</v>
      </c>
      <c r="B293">
        <v>361</v>
      </c>
      <c r="C293">
        <v>2</v>
      </c>
      <c r="D293">
        <v>0</v>
      </c>
      <c r="E293">
        <f>SmtRes!AV361</f>
        <v>0</v>
      </c>
      <c r="F293" t="str">
        <f>SmtRes!I361</f>
        <v>120906</v>
      </c>
      <c r="G293" t="str">
        <f>SmtRes!K361</f>
        <v>Катки дорожные самоходные гладкие 8 т</v>
      </c>
      <c r="H293" t="str">
        <f>SmtRes!O361</f>
        <v>маш.-ч</v>
      </c>
      <c r="I293">
        <f>SmtRes!Y361*Source!I430</f>
        <v>0.29099999999999998</v>
      </c>
      <c r="J293">
        <f>SmtRes!AO361</f>
        <v>1</v>
      </c>
      <c r="K293">
        <f>SmtRes!AF361</f>
        <v>65.92</v>
      </c>
      <c r="L293">
        <f>SmtRes!DB361</f>
        <v>639.41999999999996</v>
      </c>
      <c r="M293">
        <f>ROUND(ROUND(L293*Source!I430, 2)*1, 2)</f>
        <v>19.18</v>
      </c>
      <c r="N293">
        <f>SmtRes!AB361</f>
        <v>1920.91</v>
      </c>
      <c r="O293">
        <f>ROUND(ROUND(L293*Source!I430, 2)*SmtRes!DA361, 2)</f>
        <v>558.91</v>
      </c>
      <c r="P293">
        <f>SmtRes!AG361</f>
        <v>10.35</v>
      </c>
      <c r="Q293">
        <f>SmtRes!DC361</f>
        <v>100.4</v>
      </c>
      <c r="R293">
        <f>ROUND(ROUND(Q293*Source!I430, 2)*1, 2)</f>
        <v>3.01</v>
      </c>
      <c r="S293">
        <f>SmtRes!AC361</f>
        <v>365.04</v>
      </c>
      <c r="T293">
        <f>ROUND(ROUND(Q293*Source!I430, 2)*SmtRes!AK361, 2)</f>
        <v>106.16</v>
      </c>
      <c r="U293">
        <v>2</v>
      </c>
      <c r="Z293">
        <f>SmtRes!X361</f>
        <v>668512563</v>
      </c>
      <c r="AA293">
        <v>-2121864452</v>
      </c>
      <c r="AB293">
        <v>1146717035</v>
      </c>
    </row>
    <row r="294" spans="1:28" x14ac:dyDescent="0.2">
      <c r="A294">
        <v>20</v>
      </c>
      <c r="B294">
        <v>360</v>
      </c>
      <c r="C294">
        <v>2</v>
      </c>
      <c r="D294">
        <v>0</v>
      </c>
      <c r="E294">
        <f>SmtRes!AV360</f>
        <v>0</v>
      </c>
      <c r="F294" t="str">
        <f>SmtRes!I360</f>
        <v>120202</v>
      </c>
      <c r="G294" t="str">
        <f>SmtRes!K360</f>
        <v>Автогрейдеры среднего типа 99 кВт (135 л.с.)</v>
      </c>
      <c r="H294" t="str">
        <f>SmtRes!O360</f>
        <v>маш.-ч</v>
      </c>
      <c r="I294">
        <f>SmtRes!Y360*Source!I430</f>
        <v>1.2299999999999998E-2</v>
      </c>
      <c r="J294">
        <f>SmtRes!AO360</f>
        <v>1</v>
      </c>
      <c r="K294">
        <f>SmtRes!AF360</f>
        <v>155.09</v>
      </c>
      <c r="L294">
        <f>SmtRes!DB360</f>
        <v>63.59</v>
      </c>
      <c r="M294">
        <f>ROUND(ROUND(L294*Source!I430, 2)*1, 2)</f>
        <v>1.91</v>
      </c>
      <c r="N294">
        <f>SmtRes!AB360</f>
        <v>2357.37</v>
      </c>
      <c r="O294">
        <f>ROUND(ROUND(L294*Source!I430, 2)*SmtRes!DA360, 2)</f>
        <v>29.03</v>
      </c>
      <c r="P294">
        <f>SmtRes!AG360</f>
        <v>12.1</v>
      </c>
      <c r="Q294">
        <f>SmtRes!DC360</f>
        <v>4.96</v>
      </c>
      <c r="R294">
        <f>ROUND(ROUND(Q294*Source!I430, 2)*1, 2)</f>
        <v>0.15</v>
      </c>
      <c r="S294">
        <f>SmtRes!AC360</f>
        <v>426.77</v>
      </c>
      <c r="T294">
        <f>ROUND(ROUND(Q294*Source!I430, 2)*SmtRes!AK360, 2)</f>
        <v>5.29</v>
      </c>
      <c r="U294">
        <v>2</v>
      </c>
      <c r="Z294">
        <f>SmtRes!X360</f>
        <v>-769434373</v>
      </c>
      <c r="AA294">
        <v>137259497</v>
      </c>
      <c r="AB294">
        <v>151427480</v>
      </c>
    </row>
    <row r="295" spans="1:28" x14ac:dyDescent="0.2">
      <c r="A295">
        <v>20</v>
      </c>
      <c r="B295">
        <v>359</v>
      </c>
      <c r="C295">
        <v>2</v>
      </c>
      <c r="D295">
        <v>0</v>
      </c>
      <c r="E295">
        <f>SmtRes!AV359</f>
        <v>0</v>
      </c>
      <c r="F295" t="str">
        <f>SmtRes!I359</f>
        <v>070149</v>
      </c>
      <c r="G295" t="str">
        <f>SmtRes!K359</f>
        <v>Бульдозеры при работе на других видах строительства 79 кВт (108 л.с.)</v>
      </c>
      <c r="H295" t="str">
        <f>SmtRes!O359</f>
        <v>маш.-ч</v>
      </c>
      <c r="I295">
        <f>SmtRes!Y359*Source!I430</f>
        <v>7.7699999999999991E-2</v>
      </c>
      <c r="J295">
        <f>SmtRes!AO359</f>
        <v>1</v>
      </c>
      <c r="K295">
        <f>SmtRes!AF359</f>
        <v>108.37</v>
      </c>
      <c r="L295">
        <f>SmtRes!DB359</f>
        <v>280.68</v>
      </c>
      <c r="M295">
        <f>ROUND(ROUND(L295*Source!I430, 2)*1, 2)</f>
        <v>8.42</v>
      </c>
      <c r="N295">
        <f>SmtRes!AB359</f>
        <v>1780.52</v>
      </c>
      <c r="O295">
        <f>ROUND(ROUND(L295*Source!I430, 2)*SmtRes!DA359, 2)</f>
        <v>138.34</v>
      </c>
      <c r="P295">
        <f>SmtRes!AG359</f>
        <v>12.1</v>
      </c>
      <c r="Q295">
        <f>SmtRes!DC359</f>
        <v>31.34</v>
      </c>
      <c r="R295">
        <f>ROUND(ROUND(Q295*Source!I430, 2)*1, 2)</f>
        <v>0.94</v>
      </c>
      <c r="S295">
        <f>SmtRes!AC359</f>
        <v>426.77</v>
      </c>
      <c r="T295">
        <f>ROUND(ROUND(Q295*Source!I430, 2)*SmtRes!AK359, 2)</f>
        <v>33.15</v>
      </c>
      <c r="U295">
        <v>2</v>
      </c>
      <c r="Z295">
        <f>SmtRes!X359</f>
        <v>1658901683</v>
      </c>
      <c r="AA295">
        <v>1856854586</v>
      </c>
      <c r="AB295">
        <v>-609583365</v>
      </c>
    </row>
    <row r="296" spans="1:28" x14ac:dyDescent="0.2">
      <c r="A296">
        <v>20</v>
      </c>
      <c r="B296">
        <v>358</v>
      </c>
      <c r="C296">
        <v>2</v>
      </c>
      <c r="D296">
        <v>0</v>
      </c>
      <c r="E296">
        <f>SmtRes!AV358</f>
        <v>0</v>
      </c>
      <c r="F296" t="str">
        <f>SmtRes!I358</f>
        <v>030101</v>
      </c>
      <c r="G296" t="str">
        <f>SmtRes!K358</f>
        <v>Автопогрузчики 5 т</v>
      </c>
      <c r="H296" t="str">
        <f>SmtRes!O358</f>
        <v>маш.-ч</v>
      </c>
      <c r="I296">
        <f>SmtRes!Y358*Source!I430</f>
        <v>0.11939999999999999</v>
      </c>
      <c r="J296">
        <f>SmtRes!AO358</f>
        <v>1</v>
      </c>
      <c r="K296">
        <f>SmtRes!AF358</f>
        <v>87.24</v>
      </c>
      <c r="L296">
        <f>SmtRes!DB358</f>
        <v>347.22</v>
      </c>
      <c r="M296">
        <f>ROUND(ROUND(L296*Source!I430, 2)*1, 2)</f>
        <v>10.42</v>
      </c>
      <c r="N296">
        <f>SmtRes!AB358</f>
        <v>2230.73</v>
      </c>
      <c r="O296">
        <f>ROUND(ROUND(L296*Source!I430, 2)*SmtRes!DA358, 2)</f>
        <v>266.44</v>
      </c>
      <c r="P296">
        <f>SmtRes!AG358</f>
        <v>9</v>
      </c>
      <c r="Q296">
        <f>SmtRes!DC358</f>
        <v>35.82</v>
      </c>
      <c r="R296">
        <f>ROUND(ROUND(Q296*Source!I430, 2)*1, 2)</f>
        <v>1.07</v>
      </c>
      <c r="S296">
        <f>SmtRes!AC358</f>
        <v>317.43</v>
      </c>
      <c r="T296">
        <f>ROUND(ROUND(Q296*Source!I430, 2)*SmtRes!AK358, 2)</f>
        <v>37.74</v>
      </c>
      <c r="U296">
        <v>2</v>
      </c>
      <c r="Z296">
        <f>SmtRes!X358</f>
        <v>-674318163</v>
      </c>
      <c r="AA296">
        <v>-1657392001</v>
      </c>
      <c r="AB296">
        <v>-771525458</v>
      </c>
    </row>
    <row r="297" spans="1:28" x14ac:dyDescent="0.2">
      <c r="A297">
        <v>20</v>
      </c>
      <c r="B297">
        <v>356</v>
      </c>
      <c r="C297">
        <v>1</v>
      </c>
      <c r="D297">
        <v>0</v>
      </c>
      <c r="E297">
        <f>SmtRes!AV356</f>
        <v>1</v>
      </c>
      <c r="F297" t="str">
        <f>SmtRes!I356</f>
        <v>1-1025-21</v>
      </c>
      <c r="G297" t="str">
        <f>SmtRes!K356</f>
        <v>Рабочий строитель среднего разряда 2,5</v>
      </c>
      <c r="H297" t="str">
        <f>SmtRes!O356</f>
        <v>чел.-ч</v>
      </c>
      <c r="I297">
        <f>SmtRes!Y356*Source!I430</f>
        <v>1.1088</v>
      </c>
      <c r="J297">
        <f>SmtRes!AO356</f>
        <v>1</v>
      </c>
      <c r="K297">
        <f>SmtRes!AH356</f>
        <v>7.63</v>
      </c>
      <c r="L297">
        <f>SmtRes!DB356</f>
        <v>282</v>
      </c>
      <c r="M297">
        <f>ROUND(ROUND(L297*Source!I430, 2)*1, 2)</f>
        <v>8.4600000000000009</v>
      </c>
      <c r="N297">
        <f>SmtRes!AD356</f>
        <v>7.63</v>
      </c>
      <c r="O297">
        <f>ROUND(ROUND(L297*Source!I430, 2)*SmtRes!DA356, 2)</f>
        <v>8.4600000000000009</v>
      </c>
      <c r="P297">
        <f>SmtRes!AG356</f>
        <v>0</v>
      </c>
      <c r="Q297">
        <f>SmtRes!DC356</f>
        <v>0</v>
      </c>
      <c r="R297">
        <f>ROUND(ROUND(Q297*Source!I430, 2)*1, 2)</f>
        <v>0</v>
      </c>
      <c r="S297">
        <f>SmtRes!AC356</f>
        <v>0</v>
      </c>
      <c r="T297">
        <f>ROUND(ROUND(Q297*Source!I430, 2)*SmtRes!AK356, 2)</f>
        <v>0</v>
      </c>
      <c r="U297">
        <v>1</v>
      </c>
      <c r="Z297">
        <f>SmtRes!X356</f>
        <v>920778480</v>
      </c>
      <c r="AA297">
        <v>-1494204953</v>
      </c>
      <c r="AB297">
        <v>-1940500777</v>
      </c>
    </row>
    <row r="298" spans="1:28" x14ac:dyDescent="0.2">
      <c r="A298">
        <v>20</v>
      </c>
      <c r="B298">
        <v>370</v>
      </c>
      <c r="C298">
        <v>3</v>
      </c>
      <c r="D298">
        <v>0</v>
      </c>
      <c r="E298">
        <f>SmtRes!AV370</f>
        <v>0</v>
      </c>
      <c r="F298" t="str">
        <f>SmtRes!I370</f>
        <v>101-1561</v>
      </c>
      <c r="G298" t="str">
        <f>SmtRes!K370</f>
        <v>Битумы нефтяные дорожные жидкие, класс МГ, СГ</v>
      </c>
      <c r="H298" t="str">
        <f>SmtRes!O370</f>
        <v>т</v>
      </c>
      <c r="I298">
        <f>SmtRes!Y370*Source!I431</f>
        <v>2.1630000000000003E-2</v>
      </c>
      <c r="J298">
        <f>SmtRes!AO370</f>
        <v>1</v>
      </c>
      <c r="K298">
        <f>SmtRes!AE370</f>
        <v>1753</v>
      </c>
      <c r="L298">
        <f>SmtRes!DB370</f>
        <v>1805.59</v>
      </c>
      <c r="M298">
        <f>ROUND(ROUND(L298*Source!I431, 2)*1, 2)</f>
        <v>37.92</v>
      </c>
      <c r="N298">
        <f>SmtRes!AA370</f>
        <v>38793.89</v>
      </c>
      <c r="O298">
        <f>ROUND(ROUND(L298*Source!I431, 2)*SmtRes!DA370, 2)</f>
        <v>839.17</v>
      </c>
      <c r="P298">
        <f>SmtRes!AG370</f>
        <v>0</v>
      </c>
      <c r="Q298">
        <f>SmtRes!DC370</f>
        <v>0</v>
      </c>
      <c r="R298">
        <f>ROUND(ROUND(Q298*Source!I431, 2)*1, 2)</f>
        <v>0</v>
      </c>
      <c r="S298">
        <f>SmtRes!AC370</f>
        <v>0</v>
      </c>
      <c r="T298">
        <f>ROUND(ROUND(Q298*Source!I431, 2)*SmtRes!AK370, 2)</f>
        <v>0</v>
      </c>
      <c r="U298">
        <v>3</v>
      </c>
      <c r="Z298">
        <f>SmtRes!X370</f>
        <v>-1668997292</v>
      </c>
      <c r="AA298">
        <v>-1582765183</v>
      </c>
      <c r="AB298">
        <v>2077020564</v>
      </c>
    </row>
    <row r="299" spans="1:28" x14ac:dyDescent="0.2">
      <c r="A299">
        <v>20</v>
      </c>
      <c r="B299">
        <v>369</v>
      </c>
      <c r="C299">
        <v>2</v>
      </c>
      <c r="D299">
        <v>0</v>
      </c>
      <c r="E299">
        <f>SmtRes!AV369</f>
        <v>0</v>
      </c>
      <c r="F299" t="str">
        <f>SmtRes!I369</f>
        <v>120101</v>
      </c>
      <c r="G299" t="str">
        <f>SmtRes!K369</f>
        <v>Автогудронаторы 3500 л</v>
      </c>
      <c r="H299" t="str">
        <f>SmtRes!O369</f>
        <v>маш.-ч</v>
      </c>
      <c r="I299">
        <f>SmtRes!Y369*Source!I431</f>
        <v>6.9300000000000004E-3</v>
      </c>
      <c r="J299">
        <f>SmtRes!AO369</f>
        <v>1</v>
      </c>
      <c r="K299">
        <f>SmtRes!AF369</f>
        <v>125.61</v>
      </c>
      <c r="L299">
        <f>SmtRes!DB369</f>
        <v>41.45</v>
      </c>
      <c r="M299">
        <f>ROUND(ROUND(L299*Source!I431, 2)*1, 2)</f>
        <v>0.87</v>
      </c>
      <c r="N299">
        <f>SmtRes!AB369</f>
        <v>1543.75</v>
      </c>
      <c r="O299">
        <f>ROUND(ROUND(L299*Source!I431, 2)*SmtRes!DA369, 2)</f>
        <v>10.69</v>
      </c>
      <c r="P299">
        <f>SmtRes!AG369</f>
        <v>19.350000000000001</v>
      </c>
      <c r="Q299">
        <f>SmtRes!DC369</f>
        <v>6.39</v>
      </c>
      <c r="R299">
        <f>ROUND(ROUND(Q299*Source!I431, 2)*1, 2)</f>
        <v>0.13</v>
      </c>
      <c r="S299">
        <f>SmtRes!AC369</f>
        <v>682.47</v>
      </c>
      <c r="T299">
        <f>ROUND(ROUND(Q299*Source!I431, 2)*SmtRes!AK369, 2)</f>
        <v>4.59</v>
      </c>
      <c r="U299">
        <v>2</v>
      </c>
      <c r="Z299">
        <f>SmtRes!X369</f>
        <v>-523335971</v>
      </c>
      <c r="AA299">
        <v>1549543620</v>
      </c>
      <c r="AB299">
        <v>-1815124291</v>
      </c>
    </row>
    <row r="300" spans="1:28" x14ac:dyDescent="0.2">
      <c r="A300">
        <v>20</v>
      </c>
      <c r="B300">
        <v>396</v>
      </c>
      <c r="C300">
        <v>3</v>
      </c>
      <c r="D300">
        <v>0</v>
      </c>
      <c r="E300">
        <f>SmtRes!AV396</f>
        <v>0</v>
      </c>
      <c r="F300" t="str">
        <f>SmtRes!I396</f>
        <v>411-0001</v>
      </c>
      <c r="G300" t="str">
        <f>SmtRes!K396</f>
        <v>Вода</v>
      </c>
      <c r="H300" t="str">
        <f>SmtRes!O396</f>
        <v>м3</v>
      </c>
      <c r="I300">
        <f>SmtRes!Y396*Source!I432</f>
        <v>0.6</v>
      </c>
      <c r="J300">
        <f>SmtRes!AO396</f>
        <v>1</v>
      </c>
      <c r="K300">
        <f>SmtRes!AE396</f>
        <v>2.4700000000000002</v>
      </c>
      <c r="L300">
        <f>SmtRes!DB396</f>
        <v>49.4</v>
      </c>
      <c r="M300">
        <f>ROUND(ROUND(L300*Source!I432, 2)*1, 2)</f>
        <v>1.48</v>
      </c>
      <c r="N300">
        <f>SmtRes!AA396</f>
        <v>19.59</v>
      </c>
      <c r="O300">
        <f>ROUND(ROUND(L300*Source!I432, 2)*SmtRes!DA396, 2)</f>
        <v>11.74</v>
      </c>
      <c r="P300">
        <f>SmtRes!AG396</f>
        <v>0</v>
      </c>
      <c r="Q300">
        <f>SmtRes!DC396</f>
        <v>0</v>
      </c>
      <c r="R300">
        <f>ROUND(ROUND(Q300*Source!I432, 2)*1, 2)</f>
        <v>0</v>
      </c>
      <c r="S300">
        <f>SmtRes!AC396</f>
        <v>0</v>
      </c>
      <c r="T300">
        <f>ROUND(ROUND(Q300*Source!I432, 2)*SmtRes!AK396, 2)</f>
        <v>0</v>
      </c>
      <c r="U300">
        <v>3</v>
      </c>
      <c r="Z300">
        <f>SmtRes!X396</f>
        <v>-1418712732</v>
      </c>
      <c r="AA300">
        <v>-1607643924</v>
      </c>
      <c r="AB300">
        <v>868455164</v>
      </c>
    </row>
    <row r="301" spans="1:28" x14ac:dyDescent="0.2">
      <c r="A301">
        <v>20</v>
      </c>
      <c r="B301">
        <v>395</v>
      </c>
      <c r="C301">
        <v>3</v>
      </c>
      <c r="D301">
        <v>0</v>
      </c>
      <c r="E301">
        <f>SmtRes!AV395</f>
        <v>0</v>
      </c>
      <c r="F301" t="str">
        <f>SmtRes!I395</f>
        <v>204-0007</v>
      </c>
      <c r="G301" t="str">
        <f>SmtRes!K395</f>
        <v>Горячекатаная арматурная сталь гладкая класса А-I, диаметром 20-22 мм</v>
      </c>
      <c r="H301" t="str">
        <f>SmtRes!O395</f>
        <v>т</v>
      </c>
      <c r="I301">
        <f>SmtRes!Y395*Source!I432</f>
        <v>1.2E-5</v>
      </c>
      <c r="J301">
        <f>SmtRes!AO395</f>
        <v>1</v>
      </c>
      <c r="K301">
        <f>SmtRes!AE395</f>
        <v>5565.03</v>
      </c>
      <c r="L301">
        <f>SmtRes!DB395</f>
        <v>2.23</v>
      </c>
      <c r="M301">
        <f>ROUND(ROUND(L301*Source!I432, 2)*1, 2)</f>
        <v>7.0000000000000007E-2</v>
      </c>
      <c r="N301">
        <f>SmtRes!AA395</f>
        <v>70620.23</v>
      </c>
      <c r="O301">
        <f>ROUND(ROUND(L301*Source!I432, 2)*SmtRes!DA395, 2)</f>
        <v>0.89</v>
      </c>
      <c r="P301">
        <f>SmtRes!AG395</f>
        <v>0</v>
      </c>
      <c r="Q301">
        <f>SmtRes!DC395</f>
        <v>0</v>
      </c>
      <c r="R301">
        <f>ROUND(ROUND(Q301*Source!I432, 2)*1, 2)</f>
        <v>0</v>
      </c>
      <c r="S301">
        <f>SmtRes!AC395</f>
        <v>0</v>
      </c>
      <c r="T301">
        <f>ROUND(ROUND(Q301*Source!I432, 2)*SmtRes!AK395, 2)</f>
        <v>0</v>
      </c>
      <c r="U301">
        <v>3</v>
      </c>
      <c r="Z301">
        <f>SmtRes!X395</f>
        <v>105158306</v>
      </c>
      <c r="AA301">
        <v>1174702405</v>
      </c>
      <c r="AB301">
        <v>86001492</v>
      </c>
    </row>
    <row r="302" spans="1:28" x14ac:dyDescent="0.2">
      <c r="A302">
        <v>20</v>
      </c>
      <c r="B302">
        <v>394</v>
      </c>
      <c r="C302">
        <v>3</v>
      </c>
      <c r="D302">
        <v>0</v>
      </c>
      <c r="E302">
        <f>SmtRes!AV394</f>
        <v>0</v>
      </c>
      <c r="F302" t="str">
        <f>SmtRes!I394</f>
        <v>101-2278</v>
      </c>
      <c r="G302" t="str">
        <f>SmtRes!K394</f>
        <v>Пропан-бутан, смесь техническая</v>
      </c>
      <c r="H302" t="str">
        <f>SmtRes!O394</f>
        <v>кг</v>
      </c>
      <c r="I302">
        <f>SmtRes!Y394*Source!I432</f>
        <v>2.5499999999999998E-2</v>
      </c>
      <c r="J302">
        <f>SmtRes!AO394</f>
        <v>1</v>
      </c>
      <c r="K302">
        <f>SmtRes!AE394</f>
        <v>6.62</v>
      </c>
      <c r="L302">
        <f>SmtRes!DB394</f>
        <v>5.63</v>
      </c>
      <c r="M302">
        <f>ROUND(ROUND(L302*Source!I432, 2)*1, 2)</f>
        <v>0.17</v>
      </c>
      <c r="N302">
        <f>SmtRes!AA394</f>
        <v>53.09</v>
      </c>
      <c r="O302">
        <f>ROUND(ROUND(L302*Source!I432, 2)*SmtRes!DA394, 2)</f>
        <v>1.36</v>
      </c>
      <c r="P302">
        <f>SmtRes!AG394</f>
        <v>0</v>
      </c>
      <c r="Q302">
        <f>SmtRes!DC394</f>
        <v>0</v>
      </c>
      <c r="R302">
        <f>ROUND(ROUND(Q302*Source!I432, 2)*1, 2)</f>
        <v>0</v>
      </c>
      <c r="S302">
        <f>SmtRes!AC394</f>
        <v>0</v>
      </c>
      <c r="T302">
        <f>ROUND(ROUND(Q302*Source!I432, 2)*SmtRes!AK394, 2)</f>
        <v>0</v>
      </c>
      <c r="U302">
        <v>3</v>
      </c>
      <c r="Z302">
        <f>SmtRes!X394</f>
        <v>873943321</v>
      </c>
      <c r="AA302">
        <v>-395631024</v>
      </c>
      <c r="AB302">
        <v>1803414858</v>
      </c>
    </row>
    <row r="303" spans="1:28" x14ac:dyDescent="0.2">
      <c r="A303">
        <v>20</v>
      </c>
      <c r="B303">
        <v>393</v>
      </c>
      <c r="C303">
        <v>3</v>
      </c>
      <c r="D303">
        <v>0</v>
      </c>
      <c r="E303">
        <f>SmtRes!AV393</f>
        <v>0</v>
      </c>
      <c r="F303" t="str">
        <f>SmtRes!I393</f>
        <v>101-1929</v>
      </c>
      <c r="G303" t="str">
        <f>SmtRes!K393</f>
        <v>Болты анкерные</v>
      </c>
      <c r="H303" t="str">
        <f>SmtRes!O393</f>
        <v>т</v>
      </c>
      <c r="I303">
        <f>SmtRes!Y393*Source!I432</f>
        <v>6.0000000000000002E-5</v>
      </c>
      <c r="J303">
        <f>SmtRes!AO393</f>
        <v>1</v>
      </c>
      <c r="K303">
        <f>SmtRes!AE393</f>
        <v>10068</v>
      </c>
      <c r="L303">
        <f>SmtRes!DB393</f>
        <v>20.14</v>
      </c>
      <c r="M303">
        <f>ROUND(ROUND(L303*Source!I432, 2)*1, 2)</f>
        <v>0.6</v>
      </c>
      <c r="N303">
        <f>SmtRes!AA393</f>
        <v>104807.88</v>
      </c>
      <c r="O303">
        <f>ROUND(ROUND(L303*Source!I432, 2)*SmtRes!DA393, 2)</f>
        <v>6.25</v>
      </c>
      <c r="P303">
        <f>SmtRes!AG393</f>
        <v>0</v>
      </c>
      <c r="Q303">
        <f>SmtRes!DC393</f>
        <v>0</v>
      </c>
      <c r="R303">
        <f>ROUND(ROUND(Q303*Source!I432, 2)*1, 2)</f>
        <v>0</v>
      </c>
      <c r="S303">
        <f>SmtRes!AC393</f>
        <v>0</v>
      </c>
      <c r="T303">
        <f>ROUND(ROUND(Q303*Source!I432, 2)*SmtRes!AK393, 2)</f>
        <v>0</v>
      </c>
      <c r="U303">
        <v>3</v>
      </c>
      <c r="Z303">
        <f>SmtRes!X393</f>
        <v>-1485663071</v>
      </c>
      <c r="AA303">
        <v>-1580200019</v>
      </c>
      <c r="AB303">
        <v>-1443629656</v>
      </c>
    </row>
    <row r="304" spans="1:28" x14ac:dyDescent="0.2">
      <c r="A304">
        <v>20</v>
      </c>
      <c r="B304">
        <v>392</v>
      </c>
      <c r="C304">
        <v>3</v>
      </c>
      <c r="D304">
        <v>0</v>
      </c>
      <c r="E304">
        <f>SmtRes!AV392</f>
        <v>0</v>
      </c>
      <c r="F304" t="str">
        <f>SmtRes!I392</f>
        <v>101-1927</v>
      </c>
      <c r="G304" t="str">
        <f>SmtRes!K392</f>
        <v>Круг отрезной размером 125 мм</v>
      </c>
      <c r="H304" t="str">
        <f>SmtRes!O392</f>
        <v>шт.</v>
      </c>
      <c r="I304">
        <f>SmtRes!Y392*Source!I432</f>
        <v>8.9999999999999998E-4</v>
      </c>
      <c r="J304">
        <f>SmtRes!AO392</f>
        <v>1</v>
      </c>
      <c r="K304">
        <f>SmtRes!AE392</f>
        <v>5.07</v>
      </c>
      <c r="L304">
        <f>SmtRes!DB392</f>
        <v>0.15</v>
      </c>
      <c r="M304">
        <f>ROUND(ROUND(L304*Source!I432, 2)*1, 2)</f>
        <v>0</v>
      </c>
      <c r="N304">
        <f>SmtRes!AA392</f>
        <v>48.17</v>
      </c>
      <c r="O304">
        <f>ROUND(ROUND(L304*Source!I432, 2)*SmtRes!DA392, 2)</f>
        <v>0</v>
      </c>
      <c r="P304">
        <f>SmtRes!AG392</f>
        <v>0</v>
      </c>
      <c r="Q304">
        <f>SmtRes!DC392</f>
        <v>0</v>
      </c>
      <c r="R304">
        <f>ROUND(ROUND(Q304*Source!I432, 2)*1, 2)</f>
        <v>0</v>
      </c>
      <c r="S304">
        <f>SmtRes!AC392</f>
        <v>0</v>
      </c>
      <c r="T304">
        <f>ROUND(ROUND(Q304*Source!I432, 2)*SmtRes!AK392, 2)</f>
        <v>0</v>
      </c>
      <c r="U304">
        <v>3</v>
      </c>
      <c r="Z304">
        <f>SmtRes!X392</f>
        <v>-100753096</v>
      </c>
      <c r="AA304">
        <v>-480283821</v>
      </c>
      <c r="AB304">
        <v>225323908</v>
      </c>
    </row>
    <row r="305" spans="1:28" x14ac:dyDescent="0.2">
      <c r="A305">
        <v>20</v>
      </c>
      <c r="B305">
        <v>391</v>
      </c>
      <c r="C305">
        <v>3</v>
      </c>
      <c r="D305">
        <v>0</v>
      </c>
      <c r="E305">
        <f>SmtRes!AV391</f>
        <v>0</v>
      </c>
      <c r="F305" t="str">
        <f>SmtRes!I391</f>
        <v>101-1797</v>
      </c>
      <c r="G305" t="str">
        <f>SmtRes!K391</f>
        <v>Эмульсия битумно-дорожная</v>
      </c>
      <c r="H305" t="str">
        <f>SmtRes!O391</f>
        <v>т</v>
      </c>
      <c r="I305">
        <f>SmtRes!Y391*Source!I432</f>
        <v>2.7E-2</v>
      </c>
      <c r="J305">
        <f>SmtRes!AO391</f>
        <v>1</v>
      </c>
      <c r="K305">
        <f>SmtRes!AE391</f>
        <v>1654.64</v>
      </c>
      <c r="L305">
        <f>SmtRes!DB391</f>
        <v>1489.18</v>
      </c>
      <c r="M305">
        <f>ROUND(ROUND(L305*Source!I432, 2)*1, 2)</f>
        <v>44.68</v>
      </c>
      <c r="N305">
        <f>SmtRes!AA391</f>
        <v>36269.71</v>
      </c>
      <c r="O305">
        <f>ROUND(ROUND(L305*Source!I432, 2)*SmtRes!DA391, 2)</f>
        <v>979.39</v>
      </c>
      <c r="P305">
        <f>SmtRes!AG391</f>
        <v>0</v>
      </c>
      <c r="Q305">
        <f>SmtRes!DC391</f>
        <v>0</v>
      </c>
      <c r="R305">
        <f>ROUND(ROUND(Q305*Source!I432, 2)*1, 2)</f>
        <v>0</v>
      </c>
      <c r="S305">
        <f>SmtRes!AC391</f>
        <v>0</v>
      </c>
      <c r="T305">
        <f>ROUND(ROUND(Q305*Source!I432, 2)*SmtRes!AK391, 2)</f>
        <v>0</v>
      </c>
      <c r="U305">
        <v>3</v>
      </c>
      <c r="Z305">
        <f>SmtRes!X391</f>
        <v>-1018410528</v>
      </c>
      <c r="AA305">
        <v>-1702474411</v>
      </c>
      <c r="AB305">
        <v>-1448882464</v>
      </c>
    </row>
    <row r="306" spans="1:28" x14ac:dyDescent="0.2">
      <c r="A306">
        <v>20</v>
      </c>
      <c r="B306">
        <v>390</v>
      </c>
      <c r="C306">
        <v>3</v>
      </c>
      <c r="D306">
        <v>0</v>
      </c>
      <c r="E306">
        <f>SmtRes!AV390</f>
        <v>0</v>
      </c>
      <c r="F306" t="str">
        <f>SmtRes!I390</f>
        <v>101-1682</v>
      </c>
      <c r="G306" t="str">
        <f>SmtRes!K390</f>
        <v>Шнур полиамидный крученый, диаметром 2 мм</v>
      </c>
      <c r="H306" t="str">
        <f>SmtRes!O390</f>
        <v>т</v>
      </c>
      <c r="I306">
        <f>SmtRes!Y390*Source!I432</f>
        <v>6.0000000000000002E-6</v>
      </c>
      <c r="J306">
        <f>SmtRes!AO390</f>
        <v>1</v>
      </c>
      <c r="K306">
        <f>SmtRes!AE390</f>
        <v>45130</v>
      </c>
      <c r="L306">
        <f>SmtRes!DB390</f>
        <v>9.0299999999999994</v>
      </c>
      <c r="M306">
        <f>ROUND(ROUND(L306*Source!I432, 2)*1, 2)</f>
        <v>0.27</v>
      </c>
      <c r="N306">
        <f>SmtRes!AA390</f>
        <v>354721.8</v>
      </c>
      <c r="O306">
        <f>ROUND(ROUND(L306*Source!I432, 2)*SmtRes!DA390, 2)</f>
        <v>2.12</v>
      </c>
      <c r="P306">
        <f>SmtRes!AG390</f>
        <v>0</v>
      </c>
      <c r="Q306">
        <f>SmtRes!DC390</f>
        <v>0</v>
      </c>
      <c r="R306">
        <f>ROUND(ROUND(Q306*Source!I432, 2)*1, 2)</f>
        <v>0</v>
      </c>
      <c r="S306">
        <f>SmtRes!AC390</f>
        <v>0</v>
      </c>
      <c r="T306">
        <f>ROUND(ROUND(Q306*Source!I432, 2)*SmtRes!AK390, 2)</f>
        <v>0</v>
      </c>
      <c r="U306">
        <v>3</v>
      </c>
      <c r="Z306">
        <f>SmtRes!X390</f>
        <v>-950616880</v>
      </c>
      <c r="AA306">
        <v>49858966</v>
      </c>
      <c r="AB306">
        <v>406376870</v>
      </c>
    </row>
    <row r="307" spans="1:28" x14ac:dyDescent="0.2">
      <c r="A307">
        <v>20</v>
      </c>
      <c r="B307">
        <v>389</v>
      </c>
      <c r="C307">
        <v>3</v>
      </c>
      <c r="D307">
        <v>0</v>
      </c>
      <c r="E307">
        <f>SmtRes!AV389</f>
        <v>0</v>
      </c>
      <c r="F307" t="str">
        <f>SmtRes!I389</f>
        <v>101-0782</v>
      </c>
      <c r="G307" t="str">
        <f>SmtRes!K389</f>
        <v>Поковки из квадратных заготовок, масса 1,8 кг</v>
      </c>
      <c r="H307" t="str">
        <f>SmtRes!O389</f>
        <v>т</v>
      </c>
      <c r="I307">
        <f>SmtRes!Y389*Source!I432</f>
        <v>1.2E-5</v>
      </c>
      <c r="J307">
        <f>SmtRes!AO389</f>
        <v>1</v>
      </c>
      <c r="K307">
        <f>SmtRes!AE389</f>
        <v>5989</v>
      </c>
      <c r="L307">
        <f>SmtRes!DB389</f>
        <v>2.4</v>
      </c>
      <c r="M307">
        <f>ROUND(ROUND(L307*Source!I432, 2)*1, 2)</f>
        <v>7.0000000000000007E-2</v>
      </c>
      <c r="N307">
        <f>SmtRes!AA389</f>
        <v>60069.67</v>
      </c>
      <c r="O307">
        <f>ROUND(ROUND(L307*Source!I432, 2)*SmtRes!DA389, 2)</f>
        <v>0.7</v>
      </c>
      <c r="P307">
        <f>SmtRes!AG389</f>
        <v>0</v>
      </c>
      <c r="Q307">
        <f>SmtRes!DC389</f>
        <v>0</v>
      </c>
      <c r="R307">
        <f>ROUND(ROUND(Q307*Source!I432, 2)*1, 2)</f>
        <v>0</v>
      </c>
      <c r="S307">
        <f>SmtRes!AC389</f>
        <v>0</v>
      </c>
      <c r="T307">
        <f>ROUND(ROUND(Q307*Source!I432, 2)*SmtRes!AK389, 2)</f>
        <v>0</v>
      </c>
      <c r="U307">
        <v>3</v>
      </c>
      <c r="Z307">
        <f>SmtRes!X389</f>
        <v>-2108161735</v>
      </c>
      <c r="AA307">
        <v>1183261512</v>
      </c>
      <c r="AB307">
        <v>1769814261</v>
      </c>
    </row>
    <row r="308" spans="1:28" x14ac:dyDescent="0.2">
      <c r="A308">
        <v>20</v>
      </c>
      <c r="B308">
        <v>388</v>
      </c>
      <c r="C308">
        <v>2</v>
      </c>
      <c r="D308">
        <v>0</v>
      </c>
      <c r="E308">
        <f>SmtRes!AV388</f>
        <v>0</v>
      </c>
      <c r="F308" t="str">
        <f>SmtRes!I388</f>
        <v>400302</v>
      </c>
      <c r="G308" t="str">
        <f>SmtRes!K388</f>
        <v>Спецавтомашины типа УАЗ</v>
      </c>
      <c r="H308" t="str">
        <f>SmtRes!O388</f>
        <v>маш.-ч</v>
      </c>
      <c r="I308">
        <f>SmtRes!Y388*Source!I432</f>
        <v>5.9999999999999995E-4</v>
      </c>
      <c r="J308">
        <f>SmtRes!AO388</f>
        <v>1</v>
      </c>
      <c r="K308">
        <f>SmtRes!AF388</f>
        <v>119.36</v>
      </c>
      <c r="L308">
        <f>SmtRes!DB388</f>
        <v>2.39</v>
      </c>
      <c r="M308">
        <f>ROUND(ROUND(L308*Source!I432, 2)*1, 2)</f>
        <v>7.0000000000000007E-2</v>
      </c>
      <c r="N308">
        <f>SmtRes!AB388</f>
        <v>1506.32</v>
      </c>
      <c r="O308">
        <f>ROUND(ROUND(L308*Source!I432, 2)*SmtRes!DA388, 2)</f>
        <v>0.88</v>
      </c>
      <c r="P308">
        <f>SmtRes!AG388</f>
        <v>10.35</v>
      </c>
      <c r="Q308">
        <f>SmtRes!DC388</f>
        <v>0.21</v>
      </c>
      <c r="R308">
        <f>ROUND(ROUND(Q308*Source!I432, 2)*1, 2)</f>
        <v>0.01</v>
      </c>
      <c r="S308">
        <f>SmtRes!AC388</f>
        <v>365.04</v>
      </c>
      <c r="T308">
        <f>ROUND(ROUND(Q308*Source!I432, 2)*SmtRes!AK388, 2)</f>
        <v>0.35</v>
      </c>
      <c r="U308">
        <v>2</v>
      </c>
      <c r="Z308">
        <f>SmtRes!X388</f>
        <v>-1228136913</v>
      </c>
      <c r="AA308">
        <v>-2038524223</v>
      </c>
      <c r="AB308">
        <v>1983882154</v>
      </c>
    </row>
    <row r="309" spans="1:28" x14ac:dyDescent="0.2">
      <c r="A309">
        <v>20</v>
      </c>
      <c r="B309">
        <v>387</v>
      </c>
      <c r="C309">
        <v>2</v>
      </c>
      <c r="D309">
        <v>0</v>
      </c>
      <c r="E309">
        <f>SmtRes!AV387</f>
        <v>0</v>
      </c>
      <c r="F309" t="str">
        <f>SmtRes!I387</f>
        <v>400053</v>
      </c>
      <c r="G309" t="str">
        <f>SmtRes!K387</f>
        <v>Автомобиль-самосвал, грузоподъемность до 15 т</v>
      </c>
      <c r="H309" t="str">
        <f>SmtRes!O387</f>
        <v>маш.-ч</v>
      </c>
      <c r="I309">
        <f>SmtRes!Y387*Source!I432</f>
        <v>0.12299999999999998</v>
      </c>
      <c r="J309">
        <f>SmtRes!AO387</f>
        <v>1</v>
      </c>
      <c r="K309">
        <f>SmtRes!AF387</f>
        <v>130.41999999999999</v>
      </c>
      <c r="L309">
        <f>SmtRes!DB387</f>
        <v>534.72</v>
      </c>
      <c r="M309">
        <f>ROUND(ROUND(L309*Source!I432, 2)*1, 2)</f>
        <v>16.04</v>
      </c>
      <c r="N309">
        <f>SmtRes!AB387</f>
        <v>1798.49</v>
      </c>
      <c r="O309">
        <f>ROUND(ROUND(L309*Source!I432, 2)*SmtRes!DA387, 2)</f>
        <v>221.19</v>
      </c>
      <c r="P309">
        <f>SmtRes!AG387</f>
        <v>12.1</v>
      </c>
      <c r="Q309">
        <f>SmtRes!DC387</f>
        <v>49.61</v>
      </c>
      <c r="R309">
        <f>ROUND(ROUND(Q309*Source!I432, 2)*1, 2)</f>
        <v>1.49</v>
      </c>
      <c r="S309">
        <f>SmtRes!AC387</f>
        <v>426.77</v>
      </c>
      <c r="T309">
        <f>ROUND(ROUND(Q309*Source!I432, 2)*SmtRes!AK387, 2)</f>
        <v>52.55</v>
      </c>
      <c r="U309">
        <v>2</v>
      </c>
      <c r="Z309">
        <f>SmtRes!X387</f>
        <v>1713113695</v>
      </c>
      <c r="AA309">
        <v>491619308</v>
      </c>
      <c r="AB309">
        <v>2119972385</v>
      </c>
    </row>
    <row r="310" spans="1:28" x14ac:dyDescent="0.2">
      <c r="A310">
        <v>20</v>
      </c>
      <c r="B310">
        <v>386</v>
      </c>
      <c r="C310">
        <v>2</v>
      </c>
      <c r="D310">
        <v>0</v>
      </c>
      <c r="E310">
        <f>SmtRes!AV386</f>
        <v>0</v>
      </c>
      <c r="F310" t="str">
        <f>SmtRes!I386</f>
        <v>393008</v>
      </c>
      <c r="G310" t="str">
        <f>SmtRes!K386</f>
        <v>Нарезчик швов СР-15.2 Д</v>
      </c>
      <c r="H310" t="str">
        <f>SmtRes!O386</f>
        <v>маш.-ч</v>
      </c>
      <c r="I310">
        <f>SmtRes!Y386*Source!I432</f>
        <v>9.8399999999999987E-2</v>
      </c>
      <c r="J310">
        <f>SmtRes!AO386</f>
        <v>1</v>
      </c>
      <c r="K310">
        <f>SmtRes!AF386</f>
        <v>256.76</v>
      </c>
      <c r="L310">
        <f>SmtRes!DB386</f>
        <v>842.17</v>
      </c>
      <c r="M310">
        <f>ROUND(ROUND(L310*Source!I432, 2)*1, 2)</f>
        <v>25.27</v>
      </c>
      <c r="N310">
        <f>SmtRes!AB386</f>
        <v>824.2</v>
      </c>
      <c r="O310">
        <f>ROUND(ROUND(L310*Source!I432, 2)*SmtRes!DA386, 2)</f>
        <v>81.12</v>
      </c>
      <c r="P310">
        <f>SmtRes!AG386</f>
        <v>0</v>
      </c>
      <c r="Q310">
        <f>SmtRes!DC386</f>
        <v>0</v>
      </c>
      <c r="R310">
        <f>ROUND(ROUND(Q310*Source!I432, 2)*1, 2)</f>
        <v>0</v>
      </c>
      <c r="S310">
        <f>SmtRes!AC386</f>
        <v>0</v>
      </c>
      <c r="T310">
        <f>ROUND(ROUND(Q310*Source!I432, 2)*SmtRes!AK386, 2)</f>
        <v>0</v>
      </c>
      <c r="U310">
        <v>2</v>
      </c>
      <c r="Z310">
        <f>SmtRes!X386</f>
        <v>-489009791</v>
      </c>
      <c r="AA310">
        <v>215612228</v>
      </c>
      <c r="AB310">
        <v>384463737</v>
      </c>
    </row>
    <row r="311" spans="1:28" x14ac:dyDescent="0.2">
      <c r="A311">
        <v>20</v>
      </c>
      <c r="B311">
        <v>385</v>
      </c>
      <c r="C311">
        <v>2</v>
      </c>
      <c r="D311">
        <v>0</v>
      </c>
      <c r="E311">
        <f>SmtRes!AV385</f>
        <v>0</v>
      </c>
      <c r="F311" t="str">
        <f>SmtRes!I385</f>
        <v>391751</v>
      </c>
      <c r="G311" t="str">
        <f>SmtRes!K385</f>
        <v>Компрессоры передвижные, давление 2,0 МПа, производительность 60 м3/мин</v>
      </c>
      <c r="H311" t="str">
        <f>SmtRes!O385</f>
        <v>маш.-ч</v>
      </c>
      <c r="I311">
        <f>SmtRes!Y385*Source!I432</f>
        <v>5.3100000000000001E-2</v>
      </c>
      <c r="J311">
        <f>SmtRes!AO385</f>
        <v>1</v>
      </c>
      <c r="K311">
        <f>SmtRes!AF385</f>
        <v>221.38</v>
      </c>
      <c r="L311">
        <f>SmtRes!DB385</f>
        <v>391.84</v>
      </c>
      <c r="M311">
        <f>ROUND(ROUND(L311*Source!I432, 2)*1, 2)</f>
        <v>11.76</v>
      </c>
      <c r="N311">
        <f>SmtRes!AB385</f>
        <v>1788.75</v>
      </c>
      <c r="O311">
        <f>ROUND(ROUND(L311*Source!I432, 2)*SmtRes!DA385, 2)</f>
        <v>95.02</v>
      </c>
      <c r="P311">
        <f>SmtRes!AG385</f>
        <v>9</v>
      </c>
      <c r="Q311">
        <f>SmtRes!DC385</f>
        <v>15.93</v>
      </c>
      <c r="R311">
        <f>ROUND(ROUND(Q311*Source!I432, 2)*1, 2)</f>
        <v>0.48</v>
      </c>
      <c r="S311">
        <f>SmtRes!AC385</f>
        <v>317.43</v>
      </c>
      <c r="T311">
        <f>ROUND(ROUND(Q311*Source!I432, 2)*SmtRes!AK385, 2)</f>
        <v>16.93</v>
      </c>
      <c r="U311">
        <v>2</v>
      </c>
      <c r="Z311">
        <f>SmtRes!X385</f>
        <v>1233998622</v>
      </c>
      <c r="AA311">
        <v>1827077581</v>
      </c>
      <c r="AB311">
        <v>1296511858</v>
      </c>
    </row>
    <row r="312" spans="1:28" x14ac:dyDescent="0.2">
      <c r="A312">
        <v>20</v>
      </c>
      <c r="B312">
        <v>384</v>
      </c>
      <c r="C312">
        <v>2</v>
      </c>
      <c r="D312">
        <v>0</v>
      </c>
      <c r="E312">
        <f>SmtRes!AV384</f>
        <v>0</v>
      </c>
      <c r="F312" t="str">
        <f>SmtRes!I384</f>
        <v>381207</v>
      </c>
      <c r="G312" t="str">
        <f>SmtRes!K384</f>
        <v>Каток самоходный ABG DD 90, тандемный гладковальцевый, 10т</v>
      </c>
      <c r="H312" t="str">
        <f>SmtRes!O384</f>
        <v>маш.-ч</v>
      </c>
      <c r="I312">
        <f>SmtRes!Y384*Source!I432</f>
        <v>6.9900000000000004E-2</v>
      </c>
      <c r="J312">
        <f>SmtRes!AO384</f>
        <v>1</v>
      </c>
      <c r="K312">
        <f>SmtRes!AF384</f>
        <v>526.5</v>
      </c>
      <c r="L312">
        <f>SmtRes!DB384</f>
        <v>1226.75</v>
      </c>
      <c r="M312">
        <f>ROUND(ROUND(L312*Source!I432, 2)*1, 2)</f>
        <v>36.799999999999997</v>
      </c>
      <c r="N312">
        <f>SmtRes!AB384</f>
        <v>1900.67</v>
      </c>
      <c r="O312">
        <f>ROUND(ROUND(L312*Source!I432, 2)*SmtRes!DA384, 2)</f>
        <v>132.85</v>
      </c>
      <c r="P312">
        <f>SmtRes!AG384</f>
        <v>12.1</v>
      </c>
      <c r="Q312">
        <f>SmtRes!DC384</f>
        <v>28.19</v>
      </c>
      <c r="R312">
        <f>ROUND(ROUND(Q312*Source!I432, 2)*1, 2)</f>
        <v>0.85</v>
      </c>
      <c r="S312">
        <f>SmtRes!AC384</f>
        <v>426.77</v>
      </c>
      <c r="T312">
        <f>ROUND(ROUND(Q312*Source!I432, 2)*SmtRes!AK384, 2)</f>
        <v>29.98</v>
      </c>
      <c r="U312">
        <v>2</v>
      </c>
      <c r="Z312">
        <f>SmtRes!X384</f>
        <v>-1838412179</v>
      </c>
      <c r="AA312">
        <v>1952430742</v>
      </c>
      <c r="AB312">
        <v>598748550</v>
      </c>
    </row>
    <row r="313" spans="1:28" x14ac:dyDescent="0.2">
      <c r="A313">
        <v>20</v>
      </c>
      <c r="B313">
        <v>383</v>
      </c>
      <c r="C313">
        <v>2</v>
      </c>
      <c r="D313">
        <v>0</v>
      </c>
      <c r="E313">
        <f>SmtRes!AV383</f>
        <v>0</v>
      </c>
      <c r="F313" t="str">
        <f>SmtRes!I383</f>
        <v>381204</v>
      </c>
      <c r="G313" t="str">
        <f>SmtRes!K383</f>
        <v>Разогреватель швов ABACUS</v>
      </c>
      <c r="H313" t="str">
        <f>SmtRes!O383</f>
        <v>маш.-ч</v>
      </c>
      <c r="I313">
        <f>SmtRes!Y383*Source!I432</f>
        <v>5.5500000000000001E-2</v>
      </c>
      <c r="J313">
        <f>SmtRes!AO383</f>
        <v>1</v>
      </c>
      <c r="K313">
        <f>SmtRes!AF383</f>
        <v>21.46</v>
      </c>
      <c r="L313">
        <f>SmtRes!DB383</f>
        <v>39.700000000000003</v>
      </c>
      <c r="M313">
        <f>ROUND(ROUND(L313*Source!I432, 2)*1, 2)</f>
        <v>1.19</v>
      </c>
      <c r="N313">
        <f>SmtRes!AB383</f>
        <v>144</v>
      </c>
      <c r="O313">
        <f>ROUND(ROUND(L313*Source!I432, 2)*SmtRes!DA383, 2)</f>
        <v>7.98</v>
      </c>
      <c r="P313">
        <f>SmtRes!AG383</f>
        <v>0</v>
      </c>
      <c r="Q313">
        <f>SmtRes!DC383</f>
        <v>0</v>
      </c>
      <c r="R313">
        <f>ROUND(ROUND(Q313*Source!I432, 2)*1, 2)</f>
        <v>0</v>
      </c>
      <c r="S313">
        <f>SmtRes!AC383</f>
        <v>0</v>
      </c>
      <c r="T313">
        <f>ROUND(ROUND(Q313*Source!I432, 2)*SmtRes!AK383, 2)</f>
        <v>0</v>
      </c>
      <c r="U313">
        <v>2</v>
      </c>
      <c r="Z313">
        <f>SmtRes!X383</f>
        <v>-1506318084</v>
      </c>
      <c r="AA313">
        <v>1215546889</v>
      </c>
      <c r="AB313">
        <v>-59134999</v>
      </c>
    </row>
    <row r="314" spans="1:28" x14ac:dyDescent="0.2">
      <c r="A314">
        <v>20</v>
      </c>
      <c r="B314">
        <v>382</v>
      </c>
      <c r="C314">
        <v>2</v>
      </c>
      <c r="D314">
        <v>0</v>
      </c>
      <c r="E314">
        <f>SmtRes!AV382</f>
        <v>0</v>
      </c>
      <c r="F314" t="str">
        <f>SmtRes!I382</f>
        <v>381202</v>
      </c>
      <c r="G314" t="str">
        <f>SmtRes!K382</f>
        <v>Асфальтоукладчик гусеничный типа ABG Titan 325 с шириной укладки от 2 до 5 м</v>
      </c>
      <c r="H314" t="str">
        <f>SmtRes!O382</f>
        <v>маш.-ч</v>
      </c>
      <c r="I314">
        <f>SmtRes!Y382*Source!I432</f>
        <v>0.17610000000000001</v>
      </c>
      <c r="J314">
        <f>SmtRes!AO382</f>
        <v>1</v>
      </c>
      <c r="K314">
        <f>SmtRes!AF382</f>
        <v>777.55</v>
      </c>
      <c r="L314">
        <f>SmtRes!DB382</f>
        <v>4564.22</v>
      </c>
      <c r="M314">
        <f>ROUND(ROUND(L314*Source!I432, 2)*1, 2)</f>
        <v>136.93</v>
      </c>
      <c r="N314">
        <f>SmtRes!AB382</f>
        <v>3841.1</v>
      </c>
      <c r="O314">
        <f>ROUND(ROUND(L314*Source!I432, 2)*SmtRes!DA382, 2)</f>
        <v>676.43</v>
      </c>
      <c r="P314">
        <f>SmtRes!AG382</f>
        <v>14.72</v>
      </c>
      <c r="Q314">
        <f>SmtRes!DC382</f>
        <v>86.41</v>
      </c>
      <c r="R314">
        <f>ROUND(ROUND(Q314*Source!I432, 2)*1, 2)</f>
        <v>2.59</v>
      </c>
      <c r="S314">
        <f>SmtRes!AC382</f>
        <v>519.16999999999996</v>
      </c>
      <c r="T314">
        <f>ROUND(ROUND(Q314*Source!I432, 2)*SmtRes!AK382, 2)</f>
        <v>91.35</v>
      </c>
      <c r="U314">
        <v>2</v>
      </c>
      <c r="Z314">
        <f>SmtRes!X382</f>
        <v>-858108001</v>
      </c>
      <c r="AA314">
        <v>-2093954544</v>
      </c>
      <c r="AB314">
        <v>7752890</v>
      </c>
    </row>
    <row r="315" spans="1:28" x14ac:dyDescent="0.2">
      <c r="A315">
        <v>20</v>
      </c>
      <c r="B315">
        <v>381</v>
      </c>
      <c r="C315">
        <v>2</v>
      </c>
      <c r="D315">
        <v>0</v>
      </c>
      <c r="E315">
        <f>SmtRes!AV381</f>
        <v>0</v>
      </c>
      <c r="F315" t="str">
        <f>SmtRes!I381</f>
        <v>330804</v>
      </c>
      <c r="G315" t="str">
        <f>SmtRes!K381</f>
        <v>Молотки при работе от передвижных компрессорных станций отбойные пневматические</v>
      </c>
      <c r="H315" t="str">
        <f>SmtRes!O381</f>
        <v>маш.-ч</v>
      </c>
      <c r="I315">
        <f>SmtRes!Y381*Source!I432</f>
        <v>3.2100000000000004E-2</v>
      </c>
      <c r="J315">
        <f>SmtRes!AO381</f>
        <v>1</v>
      </c>
      <c r="K315">
        <f>SmtRes!AF381</f>
        <v>1.69</v>
      </c>
      <c r="L315">
        <f>SmtRes!DB381</f>
        <v>1.81</v>
      </c>
      <c r="M315">
        <f>ROUND(ROUND(L315*Source!I432, 2)*1, 2)</f>
        <v>0.05</v>
      </c>
      <c r="N315">
        <f>SmtRes!AB381</f>
        <v>8.8699999999999992</v>
      </c>
      <c r="O315">
        <f>ROUND(ROUND(L315*Source!I432, 2)*SmtRes!DA381, 2)</f>
        <v>0.26</v>
      </c>
      <c r="P315">
        <f>SmtRes!AG381</f>
        <v>0</v>
      </c>
      <c r="Q315">
        <f>SmtRes!DC381</f>
        <v>0</v>
      </c>
      <c r="R315">
        <f>ROUND(ROUND(Q315*Source!I432, 2)*1, 2)</f>
        <v>0</v>
      </c>
      <c r="S315">
        <f>SmtRes!AC381</f>
        <v>0</v>
      </c>
      <c r="T315">
        <f>ROUND(ROUND(Q315*Source!I432, 2)*SmtRes!AK381, 2)</f>
        <v>0</v>
      </c>
      <c r="U315">
        <v>2</v>
      </c>
      <c r="Z315">
        <f>SmtRes!X381</f>
        <v>1159152410</v>
      </c>
      <c r="AA315">
        <v>287194236</v>
      </c>
      <c r="AB315">
        <v>677645588</v>
      </c>
    </row>
    <row r="316" spans="1:28" x14ac:dyDescent="0.2">
      <c r="A316">
        <v>20</v>
      </c>
      <c r="B316">
        <v>380</v>
      </c>
      <c r="C316">
        <v>2</v>
      </c>
      <c r="D316">
        <v>0</v>
      </c>
      <c r="E316">
        <f>SmtRes!AV380</f>
        <v>0</v>
      </c>
      <c r="F316" t="str">
        <f>SmtRes!I380</f>
        <v>330302</v>
      </c>
      <c r="G316" t="str">
        <f>SmtRes!K380</f>
        <v>Машины шлифовальные угловые</v>
      </c>
      <c r="H316" t="str">
        <f>SmtRes!O380</f>
        <v>маш.-ч</v>
      </c>
      <c r="I316">
        <f>SmtRes!Y380*Source!I432</f>
        <v>1.5E-3</v>
      </c>
      <c r="J316">
        <f>SmtRes!AO380</f>
        <v>1</v>
      </c>
      <c r="K316">
        <f>SmtRes!AF380</f>
        <v>1.73</v>
      </c>
      <c r="L316">
        <f>SmtRes!DB380</f>
        <v>0.09</v>
      </c>
      <c r="M316">
        <f>ROUND(ROUND(L316*Source!I432, 2)*1, 2)</f>
        <v>0</v>
      </c>
      <c r="N316">
        <f>SmtRes!AB380</f>
        <v>13.42</v>
      </c>
      <c r="O316">
        <f>ROUND(ROUND(L316*Source!I432, 2)*SmtRes!DA380, 2)</f>
        <v>0</v>
      </c>
      <c r="P316">
        <f>SmtRes!AG380</f>
        <v>0</v>
      </c>
      <c r="Q316">
        <f>SmtRes!DC380</f>
        <v>0</v>
      </c>
      <c r="R316">
        <f>ROUND(ROUND(Q316*Source!I432, 2)*1, 2)</f>
        <v>0</v>
      </c>
      <c r="S316">
        <f>SmtRes!AC380</f>
        <v>0</v>
      </c>
      <c r="T316">
        <f>ROUND(ROUND(Q316*Source!I432, 2)*SmtRes!AK380, 2)</f>
        <v>0</v>
      </c>
      <c r="U316">
        <v>2</v>
      </c>
      <c r="Z316">
        <f>SmtRes!X380</f>
        <v>1822775421</v>
      </c>
      <c r="AA316">
        <v>-102886279</v>
      </c>
      <c r="AB316">
        <v>-1904938412</v>
      </c>
    </row>
    <row r="317" spans="1:28" x14ac:dyDescent="0.2">
      <c r="A317">
        <v>20</v>
      </c>
      <c r="B317">
        <v>379</v>
      </c>
      <c r="C317">
        <v>2</v>
      </c>
      <c r="D317">
        <v>0</v>
      </c>
      <c r="E317">
        <f>SmtRes!AV379</f>
        <v>0</v>
      </c>
      <c r="F317" t="str">
        <f>SmtRes!I379</f>
        <v>150401</v>
      </c>
      <c r="G317" t="str">
        <f>SmtRes!K379</f>
        <v>Горелки газопламенные</v>
      </c>
      <c r="H317" t="str">
        <f>SmtRes!O379</f>
        <v>маш.-ч</v>
      </c>
      <c r="I317">
        <f>SmtRes!Y379*Source!I432</f>
        <v>6.6600000000000006E-2</v>
      </c>
      <c r="J317">
        <f>SmtRes!AO379</f>
        <v>1</v>
      </c>
      <c r="K317">
        <f>SmtRes!AF379</f>
        <v>3.88</v>
      </c>
      <c r="L317">
        <f>SmtRes!DB379</f>
        <v>8.61</v>
      </c>
      <c r="M317">
        <f>ROUND(ROUND(L317*Source!I432, 2)*1, 2)</f>
        <v>0.26</v>
      </c>
      <c r="N317">
        <f>SmtRes!AB379</f>
        <v>17.850000000000001</v>
      </c>
      <c r="O317">
        <f>ROUND(ROUND(L317*Source!I432, 2)*SmtRes!DA379, 2)</f>
        <v>1.2</v>
      </c>
      <c r="P317">
        <f>SmtRes!AG379</f>
        <v>0</v>
      </c>
      <c r="Q317">
        <f>SmtRes!DC379</f>
        <v>0</v>
      </c>
      <c r="R317">
        <f>ROUND(ROUND(Q317*Source!I432, 2)*1, 2)</f>
        <v>0</v>
      </c>
      <c r="S317">
        <f>SmtRes!AC379</f>
        <v>0</v>
      </c>
      <c r="T317">
        <f>ROUND(ROUND(Q317*Source!I432, 2)*SmtRes!AK379, 2)</f>
        <v>0</v>
      </c>
      <c r="U317">
        <v>2</v>
      </c>
      <c r="Z317">
        <f>SmtRes!X379</f>
        <v>-1254885203</v>
      </c>
      <c r="AA317">
        <v>-1807845789</v>
      </c>
      <c r="AB317">
        <v>1295468557</v>
      </c>
    </row>
    <row r="318" spans="1:28" x14ac:dyDescent="0.2">
      <c r="A318">
        <v>20</v>
      </c>
      <c r="B318">
        <v>378</v>
      </c>
      <c r="C318">
        <v>2</v>
      </c>
      <c r="D318">
        <v>0</v>
      </c>
      <c r="E318">
        <f>SmtRes!AV378</f>
        <v>0</v>
      </c>
      <c r="F318" t="str">
        <f>SmtRes!I378</f>
        <v>121601</v>
      </c>
      <c r="G318" t="str">
        <f>SmtRes!K378</f>
        <v>Машины поливомоечные 6000 л</v>
      </c>
      <c r="H318" t="str">
        <f>SmtRes!O378</f>
        <v>маш.-ч</v>
      </c>
      <c r="I318">
        <f>SmtRes!Y378*Source!I432</f>
        <v>2.3099999999999999E-2</v>
      </c>
      <c r="J318">
        <f>SmtRes!AO378</f>
        <v>1</v>
      </c>
      <c r="K318">
        <f>SmtRes!AF378</f>
        <v>119.25</v>
      </c>
      <c r="L318">
        <f>SmtRes!DB378</f>
        <v>91.82</v>
      </c>
      <c r="M318">
        <f>ROUND(ROUND(L318*Source!I432, 2)*1, 2)</f>
        <v>2.75</v>
      </c>
      <c r="N318">
        <f>SmtRes!AB378</f>
        <v>1562.18</v>
      </c>
      <c r="O318">
        <f>ROUND(ROUND(L318*Source!I432, 2)*SmtRes!DA378, 2)</f>
        <v>36.03</v>
      </c>
      <c r="P318">
        <f>SmtRes!AG378</f>
        <v>10.35</v>
      </c>
      <c r="Q318">
        <f>SmtRes!DC378</f>
        <v>7.97</v>
      </c>
      <c r="R318">
        <f>ROUND(ROUND(Q318*Source!I432, 2)*1, 2)</f>
        <v>0.24</v>
      </c>
      <c r="S318">
        <f>SmtRes!AC378</f>
        <v>365.04</v>
      </c>
      <c r="T318">
        <f>ROUND(ROUND(Q318*Source!I432, 2)*SmtRes!AK378, 2)</f>
        <v>8.4600000000000009</v>
      </c>
      <c r="U318">
        <v>2</v>
      </c>
      <c r="Z318">
        <f>SmtRes!X378</f>
        <v>1797372022</v>
      </c>
      <c r="AA318">
        <v>127107692</v>
      </c>
      <c r="AB318">
        <v>-557055019</v>
      </c>
    </row>
    <row r="319" spans="1:28" x14ac:dyDescent="0.2">
      <c r="A319">
        <v>20</v>
      </c>
      <c r="B319">
        <v>377</v>
      </c>
      <c r="C319">
        <v>2</v>
      </c>
      <c r="D319">
        <v>0</v>
      </c>
      <c r="E319">
        <f>SmtRes!AV377</f>
        <v>0</v>
      </c>
      <c r="F319" t="str">
        <f>SmtRes!I377</f>
        <v>120924</v>
      </c>
      <c r="G319" t="str">
        <f>SmtRes!K377</f>
        <v>Каток вибрационный SD-120</v>
      </c>
      <c r="H319" t="str">
        <f>SmtRes!O377</f>
        <v>маш.-ч</v>
      </c>
      <c r="I319">
        <f>SmtRes!Y377*Source!I432</f>
        <v>0.1386</v>
      </c>
      <c r="J319">
        <f>SmtRes!AO377</f>
        <v>1</v>
      </c>
      <c r="K319">
        <f>SmtRes!AF377</f>
        <v>467.83</v>
      </c>
      <c r="L319">
        <f>SmtRes!DB377</f>
        <v>2161.37</v>
      </c>
      <c r="M319">
        <f>ROUND(ROUND(L319*Source!I432, 2)*1, 2)</f>
        <v>64.84</v>
      </c>
      <c r="N319">
        <f>SmtRes!AB377</f>
        <v>2835.05</v>
      </c>
      <c r="O319">
        <f>ROUND(ROUND(L319*Source!I432, 2)*SmtRes!DA377, 2)</f>
        <v>392.93</v>
      </c>
      <c r="P319">
        <f>SmtRes!AG377</f>
        <v>12.9</v>
      </c>
      <c r="Q319">
        <f>SmtRes!DC377</f>
        <v>59.6</v>
      </c>
      <c r="R319">
        <f>ROUND(ROUND(Q319*Source!I432, 2)*1, 2)</f>
        <v>1.79</v>
      </c>
      <c r="S319">
        <f>SmtRes!AC377</f>
        <v>454.98</v>
      </c>
      <c r="T319">
        <f>ROUND(ROUND(Q319*Source!I432, 2)*SmtRes!AK377, 2)</f>
        <v>63.13</v>
      </c>
      <c r="U319">
        <v>2</v>
      </c>
      <c r="Z319">
        <f>SmtRes!X377</f>
        <v>-835599869</v>
      </c>
      <c r="AA319">
        <v>-689236160</v>
      </c>
      <c r="AB319">
        <v>1829005423</v>
      </c>
    </row>
    <row r="320" spans="1:28" x14ac:dyDescent="0.2">
      <c r="A320">
        <v>20</v>
      </c>
      <c r="B320">
        <v>376</v>
      </c>
      <c r="C320">
        <v>2</v>
      </c>
      <c r="D320">
        <v>0</v>
      </c>
      <c r="E320">
        <f>SmtRes!AV376</f>
        <v>0</v>
      </c>
      <c r="F320" t="str">
        <f>SmtRes!I376</f>
        <v>120909</v>
      </c>
      <c r="G320" t="str">
        <f>SmtRes!K376</f>
        <v>Каток самоходный ДУ-84, гладковальцевый, 14 т</v>
      </c>
      <c r="H320" t="str">
        <f>SmtRes!O376</f>
        <v>маш.-ч</v>
      </c>
      <c r="I320">
        <f>SmtRes!Y376*Source!I432</f>
        <v>8.7900000000000006E-2</v>
      </c>
      <c r="J320">
        <f>SmtRes!AO376</f>
        <v>1</v>
      </c>
      <c r="K320">
        <f>SmtRes!AF376</f>
        <v>214.98</v>
      </c>
      <c r="L320">
        <f>SmtRes!DB376</f>
        <v>629.89</v>
      </c>
      <c r="M320">
        <f>ROUND(ROUND(L320*Source!I432, 2)*1, 2)</f>
        <v>18.899999999999999</v>
      </c>
      <c r="N320">
        <f>SmtRes!AB376</f>
        <v>2581.91</v>
      </c>
      <c r="O320">
        <f>ROUND(ROUND(L320*Source!I432, 2)*SmtRes!DA376, 2)</f>
        <v>226.99</v>
      </c>
      <c r="P320">
        <f>SmtRes!AG376</f>
        <v>12.1</v>
      </c>
      <c r="Q320">
        <f>SmtRes!DC376</f>
        <v>35.450000000000003</v>
      </c>
      <c r="R320">
        <f>ROUND(ROUND(Q320*Source!I432, 2)*1, 2)</f>
        <v>1.06</v>
      </c>
      <c r="S320">
        <f>SmtRes!AC376</f>
        <v>426.77</v>
      </c>
      <c r="T320">
        <f>ROUND(ROUND(Q320*Source!I432, 2)*SmtRes!AK376, 2)</f>
        <v>37.39</v>
      </c>
      <c r="U320">
        <v>2</v>
      </c>
      <c r="Z320">
        <f>SmtRes!X376</f>
        <v>1418156664</v>
      </c>
      <c r="AA320">
        <v>-1312932131</v>
      </c>
      <c r="AB320">
        <v>708003869</v>
      </c>
    </row>
    <row r="321" spans="1:28" x14ac:dyDescent="0.2">
      <c r="A321">
        <v>20</v>
      </c>
      <c r="B321">
        <v>375</v>
      </c>
      <c r="C321">
        <v>2</v>
      </c>
      <c r="D321">
        <v>0</v>
      </c>
      <c r="E321">
        <f>SmtRes!AV375</f>
        <v>0</v>
      </c>
      <c r="F321" t="str">
        <f>SmtRes!I375</f>
        <v>120101</v>
      </c>
      <c r="G321" t="str">
        <f>SmtRes!K375</f>
        <v>Автогудронаторы 3500 л</v>
      </c>
      <c r="H321" t="str">
        <f>SmtRes!O375</f>
        <v>маш.-ч</v>
      </c>
      <c r="I321">
        <f>SmtRes!Y375*Source!I432</f>
        <v>6.93E-2</v>
      </c>
      <c r="J321">
        <f>SmtRes!AO375</f>
        <v>1</v>
      </c>
      <c r="K321">
        <f>SmtRes!AF375</f>
        <v>125.61</v>
      </c>
      <c r="L321">
        <f>SmtRes!DB375</f>
        <v>290.16000000000003</v>
      </c>
      <c r="M321">
        <f>ROUND(ROUND(L321*Source!I432, 2)*1, 2)</f>
        <v>8.6999999999999993</v>
      </c>
      <c r="N321">
        <f>SmtRes!AB375</f>
        <v>1543.75</v>
      </c>
      <c r="O321">
        <f>ROUND(ROUND(L321*Source!I432, 2)*SmtRes!DA375, 2)</f>
        <v>106.92</v>
      </c>
      <c r="P321">
        <f>SmtRes!AG375</f>
        <v>19.350000000000001</v>
      </c>
      <c r="Q321">
        <f>SmtRes!DC375</f>
        <v>44.7</v>
      </c>
      <c r="R321">
        <f>ROUND(ROUND(Q321*Source!I432, 2)*1, 2)</f>
        <v>1.34</v>
      </c>
      <c r="S321">
        <f>SmtRes!AC375</f>
        <v>682.47</v>
      </c>
      <c r="T321">
        <f>ROUND(ROUND(Q321*Source!I432, 2)*SmtRes!AK375, 2)</f>
        <v>47.26</v>
      </c>
      <c r="U321">
        <v>2</v>
      </c>
      <c r="Z321">
        <f>SmtRes!X375</f>
        <v>-523335971</v>
      </c>
      <c r="AA321">
        <v>1549543620</v>
      </c>
      <c r="AB321">
        <v>-1815124291</v>
      </c>
    </row>
    <row r="322" spans="1:28" x14ac:dyDescent="0.2">
      <c r="A322">
        <v>20</v>
      </c>
      <c r="B322">
        <v>374</v>
      </c>
      <c r="C322">
        <v>2</v>
      </c>
      <c r="D322">
        <v>0</v>
      </c>
      <c r="E322">
        <f>SmtRes!AV374</f>
        <v>0</v>
      </c>
      <c r="F322" t="str">
        <f>SmtRes!I374</f>
        <v>030301</v>
      </c>
      <c r="G322" t="str">
        <f>SmtRes!K374</f>
        <v>Лебедки ручные и рычажные тяговым усилием до 9,81 кН (1 т)</v>
      </c>
      <c r="H322" t="str">
        <f>SmtRes!O374</f>
        <v>маш.-ч</v>
      </c>
      <c r="I322">
        <f>SmtRes!Y374*Source!I432</f>
        <v>0.12239999999999999</v>
      </c>
      <c r="J322">
        <f>SmtRes!AO374</f>
        <v>1</v>
      </c>
      <c r="K322">
        <f>SmtRes!AF374</f>
        <v>0.88</v>
      </c>
      <c r="L322">
        <f>SmtRes!DB374</f>
        <v>3.59</v>
      </c>
      <c r="M322">
        <f>ROUND(ROUND(L322*Source!I432, 2)*1, 2)</f>
        <v>0.11</v>
      </c>
      <c r="N322">
        <f>SmtRes!AB374</f>
        <v>6.02</v>
      </c>
      <c r="O322">
        <f>ROUND(ROUND(L322*Source!I432, 2)*SmtRes!DA374, 2)</f>
        <v>0.75</v>
      </c>
      <c r="P322">
        <f>SmtRes!AG374</f>
        <v>0</v>
      </c>
      <c r="Q322">
        <f>SmtRes!DC374</f>
        <v>0</v>
      </c>
      <c r="R322">
        <f>ROUND(ROUND(Q322*Source!I432, 2)*1, 2)</f>
        <v>0</v>
      </c>
      <c r="S322">
        <f>SmtRes!AC374</f>
        <v>0</v>
      </c>
      <c r="T322">
        <f>ROUND(ROUND(Q322*Source!I432, 2)*SmtRes!AK374, 2)</f>
        <v>0</v>
      </c>
      <c r="U322">
        <v>2</v>
      </c>
      <c r="Z322">
        <f>SmtRes!X374</f>
        <v>-29530348</v>
      </c>
      <c r="AA322">
        <v>1623529511</v>
      </c>
      <c r="AB322">
        <v>-1160237377</v>
      </c>
    </row>
    <row r="323" spans="1:28" x14ac:dyDescent="0.2">
      <c r="A323">
        <v>20</v>
      </c>
      <c r="B323">
        <v>373</v>
      </c>
      <c r="C323">
        <v>2</v>
      </c>
      <c r="D323">
        <v>0</v>
      </c>
      <c r="E323">
        <f>SmtRes!AV373</f>
        <v>0</v>
      </c>
      <c r="F323" t="str">
        <f>SmtRes!I373</f>
        <v>030101</v>
      </c>
      <c r="G323" t="str">
        <f>SmtRes!K373</f>
        <v>Автопогрузчики 5 т</v>
      </c>
      <c r="H323" t="str">
        <f>SmtRes!O373</f>
        <v>маш.-ч</v>
      </c>
      <c r="I323">
        <f>SmtRes!Y373*Source!I432</f>
        <v>7.4700000000000003E-2</v>
      </c>
      <c r="J323">
        <f>SmtRes!AO373</f>
        <v>1</v>
      </c>
      <c r="K323">
        <f>SmtRes!AF373</f>
        <v>87.24</v>
      </c>
      <c r="L323">
        <f>SmtRes!DB373</f>
        <v>217.23</v>
      </c>
      <c r="M323">
        <f>ROUND(ROUND(L323*Source!I432, 2)*1, 2)</f>
        <v>6.52</v>
      </c>
      <c r="N323">
        <f>SmtRes!AB373</f>
        <v>2230.73</v>
      </c>
      <c r="O323">
        <f>ROUND(ROUND(L323*Source!I432, 2)*SmtRes!DA373, 2)</f>
        <v>166.72</v>
      </c>
      <c r="P323">
        <f>SmtRes!AG373</f>
        <v>9</v>
      </c>
      <c r="Q323">
        <f>SmtRes!DC373</f>
        <v>22.41</v>
      </c>
      <c r="R323">
        <f>ROUND(ROUND(Q323*Source!I432, 2)*1, 2)</f>
        <v>0.67</v>
      </c>
      <c r="S323">
        <f>SmtRes!AC373</f>
        <v>317.43</v>
      </c>
      <c r="T323">
        <f>ROUND(ROUND(Q323*Source!I432, 2)*SmtRes!AK373, 2)</f>
        <v>23.63</v>
      </c>
      <c r="U323">
        <v>2</v>
      </c>
      <c r="Z323">
        <f>SmtRes!X373</f>
        <v>-674318163</v>
      </c>
      <c r="AA323">
        <v>-1657392001</v>
      </c>
      <c r="AB323">
        <v>-771525458</v>
      </c>
    </row>
    <row r="324" spans="1:28" x14ac:dyDescent="0.2">
      <c r="A324">
        <v>20</v>
      </c>
      <c r="B324">
        <v>371</v>
      </c>
      <c r="C324">
        <v>1</v>
      </c>
      <c r="D324">
        <v>0</v>
      </c>
      <c r="E324">
        <f>SmtRes!AV371</f>
        <v>1</v>
      </c>
      <c r="F324" t="str">
        <f>SmtRes!I371</f>
        <v>1-1034-21</v>
      </c>
      <c r="G324" t="str">
        <f>SmtRes!K371</f>
        <v>Рабочий строитель среднего разряда 3,4</v>
      </c>
      <c r="H324" t="str">
        <f>SmtRes!O371</f>
        <v>чел.-ч</v>
      </c>
      <c r="I324">
        <f>SmtRes!Y371*Source!I432</f>
        <v>1.2446999999999999</v>
      </c>
      <c r="J324">
        <f>SmtRes!AO371</f>
        <v>1</v>
      </c>
      <c r="K324">
        <f>SmtRes!AH371</f>
        <v>8.3800000000000008</v>
      </c>
      <c r="L324">
        <f>SmtRes!DB371</f>
        <v>347.69</v>
      </c>
      <c r="M324">
        <f>ROUND(ROUND(L324*Source!I432, 2)*1, 2)</f>
        <v>10.43</v>
      </c>
      <c r="N324">
        <f>SmtRes!AD371</f>
        <v>8.3800000000000008</v>
      </c>
      <c r="O324">
        <f>ROUND(ROUND(L324*Source!I432, 2)*SmtRes!DA371, 2)</f>
        <v>10.43</v>
      </c>
      <c r="P324">
        <f>SmtRes!AG371</f>
        <v>0</v>
      </c>
      <c r="Q324">
        <f>SmtRes!DC371</f>
        <v>0</v>
      </c>
      <c r="R324">
        <f>ROUND(ROUND(Q324*Source!I432, 2)*1, 2)</f>
        <v>0</v>
      </c>
      <c r="S324">
        <f>SmtRes!AC371</f>
        <v>0</v>
      </c>
      <c r="T324">
        <f>ROUND(ROUND(Q324*Source!I432, 2)*SmtRes!AK371, 2)</f>
        <v>0</v>
      </c>
      <c r="U324">
        <v>1</v>
      </c>
      <c r="Z324">
        <f>SmtRes!X371</f>
        <v>-1593017532</v>
      </c>
      <c r="AA324">
        <v>136814355</v>
      </c>
      <c r="AB324">
        <v>527080914</v>
      </c>
    </row>
    <row r="325" spans="1:28" x14ac:dyDescent="0.2">
      <c r="A325">
        <f>Source!A433</f>
        <v>17</v>
      </c>
      <c r="B325">
        <v>433</v>
      </c>
      <c r="C325">
        <v>3</v>
      </c>
      <c r="D325">
        <f>Source!BI433</f>
        <v>1</v>
      </c>
      <c r="E325">
        <f>Source!FS433</f>
        <v>0</v>
      </c>
      <c r="F325" t="str">
        <f>Source!F433</f>
        <v>410-0111</v>
      </c>
      <c r="G325" t="str">
        <f>Source!G433</f>
        <v>Лом асфальтобетона</v>
      </c>
      <c r="H325" t="str">
        <f>Source!H433</f>
        <v>т</v>
      </c>
      <c r="I325">
        <f>Source!I433</f>
        <v>6.6</v>
      </c>
      <c r="J325">
        <v>1</v>
      </c>
      <c r="K325">
        <f>Source!AC433</f>
        <v>52.05</v>
      </c>
      <c r="M325">
        <f>ROUND(K325*I325, 2)</f>
        <v>343.53</v>
      </c>
      <c r="N325">
        <f>Source!AC433*IF(Source!BC433&lt;&gt; 0, Source!BC433, 1)</f>
        <v>621.47699999999998</v>
      </c>
      <c r="O325">
        <f>ROUND(N325*I325, 2)</f>
        <v>4101.75</v>
      </c>
      <c r="P325">
        <f>Source!AE433</f>
        <v>0</v>
      </c>
      <c r="R325">
        <f>ROUND(P325*I325, 2)</f>
        <v>0</v>
      </c>
      <c r="S325">
        <f>Source!AE433*IF(Source!BS433&lt;&gt; 0, Source!BS433, 1)</f>
        <v>0</v>
      </c>
      <c r="T325">
        <f>ROUND(S325*I325, 2)</f>
        <v>0</v>
      </c>
      <c r="U325">
        <v>3</v>
      </c>
      <c r="Z325">
        <f>Source!GF433</f>
        <v>-2047769425</v>
      </c>
      <c r="AA325">
        <v>734667055</v>
      </c>
      <c r="AB325">
        <v>343020102</v>
      </c>
    </row>
    <row r="326" spans="1:28" x14ac:dyDescent="0.2">
      <c r="A326">
        <v>20</v>
      </c>
      <c r="B326">
        <v>437</v>
      </c>
      <c r="C326">
        <v>2</v>
      </c>
      <c r="D326">
        <v>0</v>
      </c>
      <c r="E326">
        <f>SmtRes!AV437</f>
        <v>0</v>
      </c>
      <c r="F326" t="str">
        <f>SmtRes!I437</f>
        <v>120801</v>
      </c>
      <c r="G326" t="str">
        <f>SmtRes!K437</f>
        <v>Катки полуприцепные на пневмоколесном ходу с тягачом 15 т</v>
      </c>
      <c r="H326" t="str">
        <f>SmtRes!O437</f>
        <v>маш.-ч</v>
      </c>
      <c r="I326">
        <f>SmtRes!Y437*Source!I436</f>
        <v>0.4914</v>
      </c>
      <c r="J326">
        <f>SmtRes!AO437</f>
        <v>1</v>
      </c>
      <c r="K326">
        <f>SmtRes!AF437</f>
        <v>244.83</v>
      </c>
      <c r="L326">
        <f>SmtRes!DB437</f>
        <v>954.84</v>
      </c>
      <c r="M326">
        <f>ROUND(ROUND(L326*Source!I436, 2)*1, 2)</f>
        <v>120.31</v>
      </c>
      <c r="N326">
        <f>SmtRes!AB437</f>
        <v>2558.4699999999998</v>
      </c>
      <c r="O326">
        <f>ROUND(ROUND(L326*Source!I436, 2)*SmtRes!DA437, 2)</f>
        <v>1257.24</v>
      </c>
      <c r="P326">
        <f>SmtRes!AG437</f>
        <v>12.9</v>
      </c>
      <c r="Q326">
        <f>SmtRes!DC437</f>
        <v>50.31</v>
      </c>
      <c r="R326">
        <f>ROUND(ROUND(Q326*Source!I436, 2)*1, 2)</f>
        <v>6.34</v>
      </c>
      <c r="S326">
        <f>SmtRes!AC437</f>
        <v>454.98</v>
      </c>
      <c r="T326">
        <f>ROUND(ROUND(Q326*Source!I436, 2)*SmtRes!AK437, 2)</f>
        <v>223.61</v>
      </c>
      <c r="U326">
        <v>2</v>
      </c>
      <c r="Z326">
        <f>SmtRes!X437</f>
        <v>-707671975</v>
      </c>
      <c r="AA326">
        <v>-228452244</v>
      </c>
      <c r="AB326">
        <v>-1918478925</v>
      </c>
    </row>
    <row r="327" spans="1:28" x14ac:dyDescent="0.2">
      <c r="A327">
        <v>20</v>
      </c>
      <c r="B327">
        <v>436</v>
      </c>
      <c r="C327">
        <v>2</v>
      </c>
      <c r="D327">
        <v>0</v>
      </c>
      <c r="E327">
        <f>SmtRes!AV436</f>
        <v>0</v>
      </c>
      <c r="F327" t="str">
        <f>SmtRes!I436</f>
        <v>120202</v>
      </c>
      <c r="G327" t="str">
        <f>SmtRes!K436</f>
        <v>Автогрейдеры среднего типа 99 кВт (135 л.с.)</v>
      </c>
      <c r="H327" t="str">
        <f>SmtRes!O436</f>
        <v>маш.-ч</v>
      </c>
      <c r="I327">
        <f>SmtRes!Y436*Source!I436</f>
        <v>4.5359999999999998E-2</v>
      </c>
      <c r="J327">
        <f>SmtRes!AO436</f>
        <v>1</v>
      </c>
      <c r="K327">
        <f>SmtRes!AF436</f>
        <v>155.09</v>
      </c>
      <c r="L327">
        <f>SmtRes!DB436</f>
        <v>55.83</v>
      </c>
      <c r="M327">
        <f>ROUND(ROUND(L327*Source!I436, 2)*1, 2)</f>
        <v>7.03</v>
      </c>
      <c r="N327">
        <f>SmtRes!AB436</f>
        <v>2357.37</v>
      </c>
      <c r="O327">
        <f>ROUND(ROUND(L327*Source!I436, 2)*SmtRes!DA436, 2)</f>
        <v>106.86</v>
      </c>
      <c r="P327">
        <f>SmtRes!AG436</f>
        <v>12.1</v>
      </c>
      <c r="Q327">
        <f>SmtRes!DC436</f>
        <v>4.3600000000000003</v>
      </c>
      <c r="R327">
        <f>ROUND(ROUND(Q327*Source!I436, 2)*1, 2)</f>
        <v>0.55000000000000004</v>
      </c>
      <c r="S327">
        <f>SmtRes!AC436</f>
        <v>426.77</v>
      </c>
      <c r="T327">
        <f>ROUND(ROUND(Q327*Source!I436, 2)*SmtRes!AK436, 2)</f>
        <v>19.399999999999999</v>
      </c>
      <c r="U327">
        <v>2</v>
      </c>
      <c r="Z327">
        <f>SmtRes!X436</f>
        <v>-769434373</v>
      </c>
      <c r="AA327">
        <v>137259497</v>
      </c>
      <c r="AB327">
        <v>151427480</v>
      </c>
    </row>
    <row r="328" spans="1:28" x14ac:dyDescent="0.2">
      <c r="A328">
        <v>20</v>
      </c>
      <c r="B328">
        <v>435</v>
      </c>
      <c r="C328">
        <v>2</v>
      </c>
      <c r="D328">
        <v>0</v>
      </c>
      <c r="E328">
        <f>SmtRes!AV435</f>
        <v>0</v>
      </c>
      <c r="F328" t="str">
        <f>SmtRes!I435</f>
        <v>070149</v>
      </c>
      <c r="G328" t="str">
        <f>SmtRes!K435</f>
        <v>Бульдозеры при работе на других видах строительства 79 кВт (108 л.с.)</v>
      </c>
      <c r="H328" t="str">
        <f>SmtRes!O435</f>
        <v>маш.-ч</v>
      </c>
      <c r="I328">
        <f>SmtRes!Y435*Source!I436</f>
        <v>1.1339999999999999E-2</v>
      </c>
      <c r="J328">
        <f>SmtRes!AO435</f>
        <v>1</v>
      </c>
      <c r="K328">
        <f>SmtRes!AF435</f>
        <v>108.37</v>
      </c>
      <c r="L328">
        <f>SmtRes!DB435</f>
        <v>9.75</v>
      </c>
      <c r="M328">
        <f>ROUND(ROUND(L328*Source!I436, 2)*1, 2)</f>
        <v>1.23</v>
      </c>
      <c r="N328">
        <f>SmtRes!AB435</f>
        <v>1780.52</v>
      </c>
      <c r="O328">
        <f>ROUND(ROUND(L328*Source!I436, 2)*SmtRes!DA435, 2)</f>
        <v>20.21</v>
      </c>
      <c r="P328">
        <f>SmtRes!AG435</f>
        <v>12.1</v>
      </c>
      <c r="Q328">
        <f>SmtRes!DC435</f>
        <v>1.0900000000000001</v>
      </c>
      <c r="R328">
        <f>ROUND(ROUND(Q328*Source!I436, 2)*1, 2)</f>
        <v>0.14000000000000001</v>
      </c>
      <c r="S328">
        <f>SmtRes!AC435</f>
        <v>426.77</v>
      </c>
      <c r="T328">
        <f>ROUND(ROUND(Q328*Source!I436, 2)*SmtRes!AK435, 2)</f>
        <v>4.9400000000000004</v>
      </c>
      <c r="U328">
        <v>2</v>
      </c>
      <c r="Z328">
        <f>SmtRes!X435</f>
        <v>1658901683</v>
      </c>
      <c r="AA328">
        <v>1856854586</v>
      </c>
      <c r="AB328">
        <v>-609583365</v>
      </c>
    </row>
    <row r="329" spans="1:28" x14ac:dyDescent="0.2">
      <c r="A329">
        <v>20</v>
      </c>
      <c r="B329">
        <v>434</v>
      </c>
      <c r="C329">
        <v>2</v>
      </c>
      <c r="D329">
        <v>0</v>
      </c>
      <c r="E329">
        <f>SmtRes!AV434</f>
        <v>0</v>
      </c>
      <c r="F329" t="str">
        <f>SmtRes!I434</f>
        <v>060115</v>
      </c>
      <c r="G329" t="str">
        <f>SmtRes!K434</f>
        <v>Экскаваторы траншейные многоковшовые цепные при работе на других видах строительства 12 л</v>
      </c>
      <c r="H329" t="str">
        <f>SmtRes!O434</f>
        <v>маш.-ч</v>
      </c>
      <c r="I329">
        <f>SmtRes!Y434*Source!I436</f>
        <v>0.38933999999999996</v>
      </c>
      <c r="J329">
        <f>SmtRes!AO434</f>
        <v>1</v>
      </c>
      <c r="K329">
        <f>SmtRes!AF434</f>
        <v>106.86</v>
      </c>
      <c r="L329">
        <f>SmtRes!DB434</f>
        <v>330.2</v>
      </c>
      <c r="M329">
        <f>ROUND(ROUND(L329*Source!I436, 2)*1, 2)</f>
        <v>41.61</v>
      </c>
      <c r="N329">
        <f>SmtRes!AB434</f>
        <v>1365.67</v>
      </c>
      <c r="O329">
        <f>ROUND(ROUND(L329*Source!I436, 2)*SmtRes!DA434, 2)</f>
        <v>531.78</v>
      </c>
      <c r="P329">
        <f>SmtRes!AG434</f>
        <v>20.7</v>
      </c>
      <c r="Q329">
        <f>SmtRes!DC434</f>
        <v>63.96</v>
      </c>
      <c r="R329">
        <f>ROUND(ROUND(Q329*Source!I436, 2)*1, 2)</f>
        <v>8.06</v>
      </c>
      <c r="S329">
        <f>SmtRes!AC434</f>
        <v>730.09</v>
      </c>
      <c r="T329">
        <f>ROUND(ROUND(Q329*Source!I436, 2)*SmtRes!AK434, 2)</f>
        <v>284.27999999999997</v>
      </c>
      <c r="U329">
        <v>2</v>
      </c>
      <c r="Z329">
        <f>SmtRes!X434</f>
        <v>520740563</v>
      </c>
      <c r="AA329">
        <v>935814927</v>
      </c>
      <c r="AB329">
        <v>-1128244563</v>
      </c>
    </row>
    <row r="330" spans="1:28" x14ac:dyDescent="0.2">
      <c r="A330">
        <v>20</v>
      </c>
      <c r="B330">
        <v>432</v>
      </c>
      <c r="C330">
        <v>1</v>
      </c>
      <c r="D330">
        <v>0</v>
      </c>
      <c r="E330">
        <f>SmtRes!AV432</f>
        <v>1</v>
      </c>
      <c r="F330" t="str">
        <f>SmtRes!I432</f>
        <v>1-1030-21</v>
      </c>
      <c r="G330" t="str">
        <f>SmtRes!K432</f>
        <v>Рабочий строитель среднего разряда 3</v>
      </c>
      <c r="H330" t="str">
        <f>SmtRes!O432</f>
        <v>чел.-ч</v>
      </c>
      <c r="I330">
        <f>SmtRes!Y432*Source!I436</f>
        <v>5.7871800000000002</v>
      </c>
      <c r="J330">
        <f>SmtRes!AO432</f>
        <v>1</v>
      </c>
      <c r="K330">
        <f>SmtRes!AH432</f>
        <v>7.97</v>
      </c>
      <c r="L330">
        <f>SmtRes!DB432</f>
        <v>366.06</v>
      </c>
      <c r="M330">
        <f>ROUND(ROUND(L330*Source!I436, 2)*1, 2)</f>
        <v>46.12</v>
      </c>
      <c r="N330">
        <f>SmtRes!AD432</f>
        <v>7.97</v>
      </c>
      <c r="O330">
        <f>ROUND(ROUND(L330*Source!I436, 2)*SmtRes!DA432, 2)</f>
        <v>46.12</v>
      </c>
      <c r="P330">
        <f>SmtRes!AG432</f>
        <v>0</v>
      </c>
      <c r="Q330">
        <f>SmtRes!DC432</f>
        <v>0</v>
      </c>
      <c r="R330">
        <f>ROUND(ROUND(Q330*Source!I436, 2)*1, 2)</f>
        <v>0</v>
      </c>
      <c r="S330">
        <f>SmtRes!AC432</f>
        <v>0</v>
      </c>
      <c r="T330">
        <f>ROUND(ROUND(Q330*Source!I436, 2)*SmtRes!AK432, 2)</f>
        <v>0</v>
      </c>
      <c r="U330">
        <v>1</v>
      </c>
      <c r="Z330">
        <f>SmtRes!X432</f>
        <v>756115135</v>
      </c>
      <c r="AA330">
        <v>-103154406</v>
      </c>
      <c r="AB330">
        <v>1494462434</v>
      </c>
    </row>
    <row r="331" spans="1:28" x14ac:dyDescent="0.2">
      <c r="A331">
        <f>Source!A476</f>
        <v>4</v>
      </c>
      <c r="B331">
        <v>476</v>
      </c>
      <c r="G331" t="str">
        <f>Source!G476</f>
        <v>Туалет</v>
      </c>
    </row>
    <row r="332" spans="1:28" x14ac:dyDescent="0.2">
      <c r="A332">
        <v>20</v>
      </c>
      <c r="B332">
        <v>440</v>
      </c>
      <c r="C332">
        <v>2</v>
      </c>
      <c r="D332">
        <v>0</v>
      </c>
      <c r="E332">
        <f>SmtRes!AV440</f>
        <v>0</v>
      </c>
      <c r="F332" t="str">
        <f>SmtRes!I440</f>
        <v>060337</v>
      </c>
      <c r="G332" t="str">
        <f>SmtRes!K440</f>
        <v>Экскаваторы одноковшовые дизельные на пневмоколесном ходу при работе на других видах строительства 0,25 м3</v>
      </c>
      <c r="H332" t="str">
        <f>SmtRes!O440</f>
        <v>маш.-ч</v>
      </c>
      <c r="I332">
        <f>SmtRes!Y440*Source!I480</f>
        <v>0.19978399999999999</v>
      </c>
      <c r="J332">
        <f>SmtRes!AO440</f>
        <v>1</v>
      </c>
      <c r="K332">
        <f>SmtRes!AF440</f>
        <v>74</v>
      </c>
      <c r="L332">
        <f>SmtRes!DB440</f>
        <v>4348.24</v>
      </c>
      <c r="M332">
        <f>ROUND(ROUND(L332*Source!I480, 2)*1, 2)</f>
        <v>14.78</v>
      </c>
      <c r="N332">
        <f>SmtRes!AB440</f>
        <v>1396.38</v>
      </c>
      <c r="O332">
        <f>ROUND(ROUND(L332*Source!I480, 2)*SmtRes!DA440, 2)</f>
        <v>278.89999999999998</v>
      </c>
      <c r="P332">
        <f>SmtRes!AG440</f>
        <v>10.35</v>
      </c>
      <c r="Q332">
        <f>SmtRes!DC440</f>
        <v>608.16999999999996</v>
      </c>
      <c r="R332">
        <f>ROUND(ROUND(Q332*Source!I480, 2)*1, 2)</f>
        <v>2.0699999999999998</v>
      </c>
      <c r="S332">
        <f>SmtRes!AC440</f>
        <v>365.04</v>
      </c>
      <c r="T332">
        <f>ROUND(ROUND(Q332*Source!I480, 2)*SmtRes!AK440, 2)</f>
        <v>73.010000000000005</v>
      </c>
      <c r="U332">
        <v>2</v>
      </c>
      <c r="Z332">
        <f>SmtRes!X440</f>
        <v>-242827276</v>
      </c>
      <c r="AA332">
        <v>-120847363</v>
      </c>
      <c r="AB332">
        <v>-309073364</v>
      </c>
    </row>
    <row r="333" spans="1:28" x14ac:dyDescent="0.2">
      <c r="A333">
        <v>20</v>
      </c>
      <c r="B333">
        <v>438</v>
      </c>
      <c r="C333">
        <v>1</v>
      </c>
      <c r="D333">
        <v>0</v>
      </c>
      <c r="E333">
        <f>SmtRes!AV438</f>
        <v>1</v>
      </c>
      <c r="F333" t="str">
        <f>SmtRes!I438</f>
        <v>1-1020-21</v>
      </c>
      <c r="G333" t="str">
        <f>SmtRes!K438</f>
        <v>Рабочий строитель среднего разряда 2</v>
      </c>
      <c r="H333" t="str">
        <f>SmtRes!O438</f>
        <v>чел.-ч</v>
      </c>
      <c r="I333">
        <f>SmtRes!Y438*Source!I480</f>
        <v>4.3723999999999999E-2</v>
      </c>
      <c r="J333">
        <f>SmtRes!AO438</f>
        <v>1</v>
      </c>
      <c r="K333">
        <f>SmtRes!AH438</f>
        <v>7.29</v>
      </c>
      <c r="L333">
        <f>SmtRes!DB438</f>
        <v>93.75</v>
      </c>
      <c r="M333">
        <f>ROUND(ROUND(L333*Source!I480, 2)*1, 2)</f>
        <v>0.32</v>
      </c>
      <c r="N333">
        <f>SmtRes!AD438</f>
        <v>7.29</v>
      </c>
      <c r="O333">
        <f>ROUND(ROUND(L333*Source!I480, 2)*SmtRes!DA438, 2)</f>
        <v>0.32</v>
      </c>
      <c r="P333">
        <f>SmtRes!AG438</f>
        <v>0</v>
      </c>
      <c r="Q333">
        <f>SmtRes!DC438</f>
        <v>0</v>
      </c>
      <c r="R333">
        <f>ROUND(ROUND(Q333*Source!I480, 2)*1, 2)</f>
        <v>0</v>
      </c>
      <c r="S333">
        <f>SmtRes!AC438</f>
        <v>0</v>
      </c>
      <c r="T333">
        <f>ROUND(ROUND(Q333*Source!I480, 2)*SmtRes!AK438, 2)</f>
        <v>0</v>
      </c>
      <c r="U333">
        <v>1</v>
      </c>
      <c r="Z333">
        <f>SmtRes!X438</f>
        <v>1250814213</v>
      </c>
      <c r="AA333">
        <v>777447757</v>
      </c>
      <c r="AB333">
        <v>-1697901350</v>
      </c>
    </row>
    <row r="334" spans="1:28" x14ac:dyDescent="0.2">
      <c r="A334">
        <v>20</v>
      </c>
      <c r="B334">
        <v>443</v>
      </c>
      <c r="C334">
        <v>2</v>
      </c>
      <c r="D334">
        <v>0</v>
      </c>
      <c r="E334">
        <f>SmtRes!AV443</f>
        <v>0</v>
      </c>
      <c r="F334" t="str">
        <f>SmtRes!I443</f>
        <v>030101</v>
      </c>
      <c r="G334" t="str">
        <f>SmtRes!K443</f>
        <v>Автопогрузчики 5 т</v>
      </c>
      <c r="H334" t="str">
        <f>SmtRes!O443</f>
        <v>маш.-ч</v>
      </c>
      <c r="I334">
        <f>SmtRes!Y443*Source!I481</f>
        <v>1.1900000000000001E-2</v>
      </c>
      <c r="J334">
        <f>SmtRes!AO443</f>
        <v>1</v>
      </c>
      <c r="K334">
        <f>SmtRes!AF443</f>
        <v>87.24</v>
      </c>
      <c r="L334">
        <f>SmtRes!DB443</f>
        <v>30.53</v>
      </c>
      <c r="M334">
        <f>ROUND(ROUND(L334*Source!I481, 2)*1, 2)</f>
        <v>1.04</v>
      </c>
      <c r="N334">
        <f>SmtRes!AB443</f>
        <v>2230.73</v>
      </c>
      <c r="O334">
        <f>ROUND(ROUND(L334*Source!I481, 2)*SmtRes!DA443, 2)</f>
        <v>26.59</v>
      </c>
      <c r="P334">
        <f>SmtRes!AG443</f>
        <v>9</v>
      </c>
      <c r="Q334">
        <f>SmtRes!DC443</f>
        <v>3.15</v>
      </c>
      <c r="R334">
        <f>ROUND(ROUND(Q334*Source!I481, 2)*1, 2)</f>
        <v>0.11</v>
      </c>
      <c r="S334">
        <f>SmtRes!AC443</f>
        <v>317.43</v>
      </c>
      <c r="T334">
        <f>ROUND(ROUND(Q334*Source!I481, 2)*SmtRes!AK443, 2)</f>
        <v>3.88</v>
      </c>
      <c r="U334">
        <v>2</v>
      </c>
      <c r="Z334">
        <f>SmtRes!X443</f>
        <v>-674318163</v>
      </c>
      <c r="AA334">
        <v>-1657392001</v>
      </c>
      <c r="AB334">
        <v>-771525458</v>
      </c>
    </row>
    <row r="335" spans="1:28" x14ac:dyDescent="0.2">
      <c r="A335">
        <v>20</v>
      </c>
      <c r="B335">
        <v>441</v>
      </c>
      <c r="C335">
        <v>1</v>
      </c>
      <c r="D335">
        <v>0</v>
      </c>
      <c r="E335">
        <f>SmtRes!AV441</f>
        <v>1</v>
      </c>
      <c r="F335" t="str">
        <f>SmtRes!I441</f>
        <v>1-1025-21</v>
      </c>
      <c r="G335" t="str">
        <f>SmtRes!K441</f>
        <v>Рабочий строитель среднего разряда 2,5</v>
      </c>
      <c r="H335" t="str">
        <f>SmtRes!O441</f>
        <v>чел.-ч</v>
      </c>
      <c r="I335">
        <f>SmtRes!Y441*Source!I481</f>
        <v>0.3468</v>
      </c>
      <c r="J335">
        <f>SmtRes!AO441</f>
        <v>1</v>
      </c>
      <c r="K335">
        <f>SmtRes!AH441</f>
        <v>7.63</v>
      </c>
      <c r="L335">
        <f>SmtRes!DB441</f>
        <v>77.83</v>
      </c>
      <c r="M335">
        <f>ROUND(ROUND(L335*Source!I481, 2)*1, 2)</f>
        <v>2.65</v>
      </c>
      <c r="N335">
        <f>SmtRes!AD441</f>
        <v>7.63</v>
      </c>
      <c r="O335">
        <f>ROUND(ROUND(L335*Source!I481, 2)*SmtRes!DA441, 2)</f>
        <v>2.65</v>
      </c>
      <c r="P335">
        <f>SmtRes!AG441</f>
        <v>0</v>
      </c>
      <c r="Q335">
        <f>SmtRes!DC441</f>
        <v>0</v>
      </c>
      <c r="R335">
        <f>ROUND(ROUND(Q335*Source!I481, 2)*1, 2)</f>
        <v>0</v>
      </c>
      <c r="S335">
        <f>SmtRes!AC441</f>
        <v>0</v>
      </c>
      <c r="T335">
        <f>ROUND(ROUND(Q335*Source!I481, 2)*SmtRes!AK441, 2)</f>
        <v>0</v>
      </c>
      <c r="U335">
        <v>1</v>
      </c>
      <c r="Z335">
        <f>SmtRes!X441</f>
        <v>920778480</v>
      </c>
      <c r="AA335">
        <v>-1494204953</v>
      </c>
      <c r="AB335">
        <v>-1940500777</v>
      </c>
    </row>
    <row r="336" spans="1:28" x14ac:dyDescent="0.2">
      <c r="A336">
        <f>Source!A483</f>
        <v>17</v>
      </c>
      <c r="B336">
        <v>483</v>
      </c>
      <c r="C336">
        <v>3</v>
      </c>
      <c r="D336">
        <f>Source!BI483</f>
        <v>1</v>
      </c>
      <c r="E336">
        <f>Source!FS483</f>
        <v>0</v>
      </c>
      <c r="F336" t="str">
        <f>Source!F483</f>
        <v>408-0124</v>
      </c>
      <c r="G336" t="str">
        <f>Source!G483</f>
        <v>Песок природный для строительных работ мелкий</v>
      </c>
      <c r="H336" t="str">
        <f>Source!H483</f>
        <v>м3</v>
      </c>
      <c r="I336">
        <f>Source!I483</f>
        <v>0.374</v>
      </c>
      <c r="J336">
        <v>1</v>
      </c>
      <c r="K336">
        <f>Source!AC483</f>
        <v>54</v>
      </c>
      <c r="M336">
        <f>ROUND(K336*I336, 2)</f>
        <v>20.2</v>
      </c>
      <c r="N336">
        <f>Source!AC483*IF(Source!BC483&lt;&gt; 0, Source!BC483, 1)</f>
        <v>866.16</v>
      </c>
      <c r="O336">
        <f>ROUND(N336*I336, 2)</f>
        <v>323.94</v>
      </c>
      <c r="P336">
        <f>Source!AE483</f>
        <v>0</v>
      </c>
      <c r="R336">
        <f>ROUND(P336*I336, 2)</f>
        <v>0</v>
      </c>
      <c r="S336">
        <f>Source!AE483*IF(Source!BS483&lt;&gt; 0, Source!BS483, 1)</f>
        <v>0</v>
      </c>
      <c r="T336">
        <f>ROUND(S336*I336, 2)</f>
        <v>0</v>
      </c>
      <c r="U336">
        <v>3</v>
      </c>
      <c r="Z336">
        <f>Source!GF483</f>
        <v>-659917486</v>
      </c>
      <c r="AA336">
        <v>-1505703642</v>
      </c>
      <c r="AB336">
        <v>-1560020902</v>
      </c>
    </row>
    <row r="337" spans="1:28" x14ac:dyDescent="0.2">
      <c r="A337">
        <v>20</v>
      </c>
      <c r="B337">
        <v>461</v>
      </c>
      <c r="C337">
        <v>3</v>
      </c>
      <c r="D337">
        <v>0</v>
      </c>
      <c r="E337">
        <f>SmtRes!AV461</f>
        <v>0</v>
      </c>
      <c r="F337" t="str">
        <f>SmtRes!I461</f>
        <v>408-0122</v>
      </c>
      <c r="G337" t="str">
        <f>SmtRes!K461</f>
        <v>Песок природный для строительных работ средний</v>
      </c>
      <c r="H337" t="str">
        <f>SmtRes!O461</f>
        <v>м3</v>
      </c>
      <c r="I337">
        <f>SmtRes!Y461*Source!I484</f>
        <v>6.0900000000000003E-2</v>
      </c>
      <c r="J337">
        <f>SmtRes!AO461</f>
        <v>1</v>
      </c>
      <c r="K337">
        <f>SmtRes!AE461</f>
        <v>65</v>
      </c>
      <c r="L337">
        <f>SmtRes!DB461</f>
        <v>94.25</v>
      </c>
      <c r="M337">
        <f>ROUND(ROUND(L337*Source!I484, 2)*1, 2)</f>
        <v>3.96</v>
      </c>
      <c r="N337">
        <f>SmtRes!AA461</f>
        <v>975</v>
      </c>
      <c r="O337">
        <f>ROUND(ROUND(L337*Source!I484, 2)*SmtRes!DA461, 2)</f>
        <v>59.4</v>
      </c>
      <c r="P337">
        <f>SmtRes!AG461</f>
        <v>0</v>
      </c>
      <c r="Q337">
        <f>SmtRes!DC461</f>
        <v>0</v>
      </c>
      <c r="R337">
        <f>ROUND(ROUND(Q337*Source!I484, 2)*1, 2)</f>
        <v>0</v>
      </c>
      <c r="S337">
        <f>SmtRes!AC461</f>
        <v>0</v>
      </c>
      <c r="T337">
        <f>ROUND(ROUND(Q337*Source!I484, 2)*SmtRes!AK461, 2)</f>
        <v>0</v>
      </c>
      <c r="U337">
        <v>3</v>
      </c>
      <c r="Z337">
        <f>SmtRes!X461</f>
        <v>-90225913</v>
      </c>
      <c r="AA337">
        <v>-1121765255</v>
      </c>
      <c r="AB337">
        <v>-1422822734</v>
      </c>
    </row>
    <row r="338" spans="1:28" x14ac:dyDescent="0.2">
      <c r="A338">
        <v>20</v>
      </c>
      <c r="B338">
        <v>460</v>
      </c>
      <c r="C338">
        <v>3</v>
      </c>
      <c r="D338">
        <v>0</v>
      </c>
      <c r="E338">
        <f>SmtRes!AV460</f>
        <v>0</v>
      </c>
      <c r="F338" t="str">
        <f>SmtRes!I460</f>
        <v>403-3120</v>
      </c>
      <c r="G338" t="str">
        <f>SmtRes!K460</f>
        <v>Плиты железобетонные покрытий, перекрытий и днищ</v>
      </c>
      <c r="H338" t="str">
        <f>SmtRes!O460</f>
        <v>м3</v>
      </c>
      <c r="I338">
        <f>SmtRes!Y460*Source!I484</f>
        <v>8.6520000000000014E-2</v>
      </c>
      <c r="J338">
        <f>SmtRes!AO460</f>
        <v>1</v>
      </c>
      <c r="K338">
        <f>SmtRes!AE460</f>
        <v>1571</v>
      </c>
      <c r="L338">
        <f>SmtRes!DB460</f>
        <v>3236.26</v>
      </c>
      <c r="M338">
        <f>ROUND(ROUND(L338*Source!I484, 2)*1, 2)</f>
        <v>135.91999999999999</v>
      </c>
      <c r="N338">
        <f>SmtRes!AA460</f>
        <v>22056.84</v>
      </c>
      <c r="O338">
        <f>ROUND(ROUND(L338*Source!I484, 2)*SmtRes!DA460, 2)</f>
        <v>1908.32</v>
      </c>
      <c r="P338">
        <f>SmtRes!AG460</f>
        <v>0</v>
      </c>
      <c r="Q338">
        <f>SmtRes!DC460</f>
        <v>0</v>
      </c>
      <c r="R338">
        <f>ROUND(ROUND(Q338*Source!I484, 2)*1, 2)</f>
        <v>0</v>
      </c>
      <c r="S338">
        <f>SmtRes!AC460</f>
        <v>0</v>
      </c>
      <c r="T338">
        <f>ROUND(ROUND(Q338*Source!I484, 2)*SmtRes!AK460, 2)</f>
        <v>0</v>
      </c>
      <c r="U338">
        <v>3</v>
      </c>
      <c r="Z338">
        <f>SmtRes!X460</f>
        <v>1025617385</v>
      </c>
      <c r="AA338">
        <v>-1647406559</v>
      </c>
      <c r="AB338">
        <v>40352378</v>
      </c>
    </row>
    <row r="339" spans="1:28" x14ac:dyDescent="0.2">
      <c r="A339">
        <v>20</v>
      </c>
      <c r="B339">
        <v>459</v>
      </c>
      <c r="C339">
        <v>3</v>
      </c>
      <c r="D339">
        <v>0</v>
      </c>
      <c r="E339">
        <f>SmtRes!AV459</f>
        <v>0</v>
      </c>
      <c r="F339" t="str">
        <f>SmtRes!I459</f>
        <v>403-0120</v>
      </c>
      <c r="G339" t="str">
        <f>SmtRes!K459</f>
        <v>Кольца для колодцев сборные железобетонные диаметром 1500 мм</v>
      </c>
      <c r="H339" t="str">
        <f>SmtRes!O459</f>
        <v>м</v>
      </c>
      <c r="I339">
        <f>SmtRes!Y459*Source!I484</f>
        <v>0.28895999999999999</v>
      </c>
      <c r="J339">
        <f>SmtRes!AO459</f>
        <v>1</v>
      </c>
      <c r="K339">
        <f>SmtRes!AE459</f>
        <v>818.57</v>
      </c>
      <c r="L339">
        <f>SmtRes!DB459</f>
        <v>5631.76</v>
      </c>
      <c r="M339">
        <f>ROUND(ROUND(L339*Source!I484, 2)*1, 2)</f>
        <v>236.53</v>
      </c>
      <c r="N339">
        <f>SmtRes!AA459</f>
        <v>7743.67</v>
      </c>
      <c r="O339">
        <f>ROUND(ROUND(L339*Source!I484, 2)*SmtRes!DA459, 2)</f>
        <v>2237.5700000000002</v>
      </c>
      <c r="P339">
        <f>SmtRes!AG459</f>
        <v>0</v>
      </c>
      <c r="Q339">
        <f>SmtRes!DC459</f>
        <v>0</v>
      </c>
      <c r="R339">
        <f>ROUND(ROUND(Q339*Source!I484, 2)*1, 2)</f>
        <v>0</v>
      </c>
      <c r="S339">
        <f>SmtRes!AC459</f>
        <v>0</v>
      </c>
      <c r="T339">
        <f>ROUND(ROUND(Q339*Source!I484, 2)*SmtRes!AK459, 2)</f>
        <v>0</v>
      </c>
      <c r="U339">
        <v>3</v>
      </c>
      <c r="Z339">
        <f>SmtRes!X459</f>
        <v>1117287400</v>
      </c>
      <c r="AA339">
        <v>-1611379483</v>
      </c>
      <c r="AB339">
        <v>-537992685</v>
      </c>
    </row>
    <row r="340" spans="1:28" x14ac:dyDescent="0.2">
      <c r="A340">
        <v>20</v>
      </c>
      <c r="B340">
        <v>458</v>
      </c>
      <c r="C340">
        <v>3</v>
      </c>
      <c r="D340">
        <v>0</v>
      </c>
      <c r="E340">
        <f>SmtRes!AV458</f>
        <v>0</v>
      </c>
      <c r="F340" t="str">
        <f>SmtRes!I458</f>
        <v>402-0064</v>
      </c>
      <c r="G340" t="str">
        <f>SmtRes!K458</f>
        <v>Раствор асбоцементный</v>
      </c>
      <c r="H340" t="str">
        <f>SmtRes!O458</f>
        <v>м3</v>
      </c>
      <c r="I340">
        <f>SmtRes!Y458*Source!I484</f>
        <v>5.0400000000000002E-3</v>
      </c>
      <c r="J340">
        <f>SmtRes!AO458</f>
        <v>1</v>
      </c>
      <c r="K340">
        <f>SmtRes!AE458</f>
        <v>400.92</v>
      </c>
      <c r="L340">
        <f>SmtRes!DB458</f>
        <v>48.11</v>
      </c>
      <c r="M340">
        <f>ROUND(ROUND(L340*Source!I484, 2)*1, 2)</f>
        <v>2.02</v>
      </c>
      <c r="N340">
        <f>SmtRes!AA458</f>
        <v>3668.42</v>
      </c>
      <c r="O340">
        <f>ROUND(ROUND(L340*Source!I484, 2)*SmtRes!DA458, 2)</f>
        <v>18.48</v>
      </c>
      <c r="P340">
        <f>SmtRes!AG458</f>
        <v>0</v>
      </c>
      <c r="Q340">
        <f>SmtRes!DC458</f>
        <v>0</v>
      </c>
      <c r="R340">
        <f>ROUND(ROUND(Q340*Source!I484, 2)*1, 2)</f>
        <v>0</v>
      </c>
      <c r="S340">
        <f>SmtRes!AC458</f>
        <v>0</v>
      </c>
      <c r="T340">
        <f>ROUND(ROUND(Q340*Source!I484, 2)*SmtRes!AK458, 2)</f>
        <v>0</v>
      </c>
      <c r="U340">
        <v>3</v>
      </c>
      <c r="Z340">
        <f>SmtRes!X458</f>
        <v>-90219473</v>
      </c>
      <c r="AA340">
        <v>1493357587</v>
      </c>
      <c r="AB340">
        <v>-1682802949</v>
      </c>
    </row>
    <row r="341" spans="1:28" x14ac:dyDescent="0.2">
      <c r="A341">
        <v>20</v>
      </c>
      <c r="B341">
        <v>457</v>
      </c>
      <c r="C341">
        <v>3</v>
      </c>
      <c r="D341">
        <v>0</v>
      </c>
      <c r="E341">
        <f>SmtRes!AV457</f>
        <v>0</v>
      </c>
      <c r="F341" t="str">
        <f>SmtRes!I457</f>
        <v>402-0002</v>
      </c>
      <c r="G341" t="str">
        <f>SmtRes!K457</f>
        <v>Раствор готовый кладочный цементный марки 50</v>
      </c>
      <c r="H341" t="str">
        <f>SmtRes!O457</f>
        <v>м3</v>
      </c>
      <c r="I341">
        <f>SmtRes!Y457*Source!I484</f>
        <v>3.4439999999999998E-2</v>
      </c>
      <c r="J341">
        <f>SmtRes!AO457</f>
        <v>1</v>
      </c>
      <c r="K341">
        <f>SmtRes!AE457</f>
        <v>389</v>
      </c>
      <c r="L341">
        <f>SmtRes!DB457</f>
        <v>318.98</v>
      </c>
      <c r="M341">
        <f>ROUND(ROUND(L341*Source!I484, 2)*1, 2)</f>
        <v>13.4</v>
      </c>
      <c r="N341">
        <f>SmtRes!AA457</f>
        <v>4512.3999999999996</v>
      </c>
      <c r="O341">
        <f>ROUND(ROUND(L341*Source!I484, 2)*SmtRes!DA457, 2)</f>
        <v>155.44</v>
      </c>
      <c r="P341">
        <f>SmtRes!AG457</f>
        <v>0</v>
      </c>
      <c r="Q341">
        <f>SmtRes!DC457</f>
        <v>0</v>
      </c>
      <c r="R341">
        <f>ROUND(ROUND(Q341*Source!I484, 2)*1, 2)</f>
        <v>0</v>
      </c>
      <c r="S341">
        <f>SmtRes!AC457</f>
        <v>0</v>
      </c>
      <c r="T341">
        <f>ROUND(ROUND(Q341*Source!I484, 2)*SmtRes!AK457, 2)</f>
        <v>0</v>
      </c>
      <c r="U341">
        <v>3</v>
      </c>
      <c r="Z341">
        <f>SmtRes!X457</f>
        <v>1011246000</v>
      </c>
      <c r="AA341">
        <v>1256247607</v>
      </c>
      <c r="AB341">
        <v>-368703330</v>
      </c>
    </row>
    <row r="342" spans="1:28" x14ac:dyDescent="0.2">
      <c r="A342">
        <v>20</v>
      </c>
      <c r="B342">
        <v>456</v>
      </c>
      <c r="C342">
        <v>3</v>
      </c>
      <c r="D342">
        <v>0</v>
      </c>
      <c r="E342">
        <f>SmtRes!AV456</f>
        <v>0</v>
      </c>
      <c r="F342" t="str">
        <f>SmtRes!I456</f>
        <v>401-0006</v>
      </c>
      <c r="G342" t="str">
        <f>SmtRes!K456</f>
        <v>Бетон тяжелый, класс В15 (М200)</v>
      </c>
      <c r="H342" t="str">
        <f>SmtRes!O456</f>
        <v>м3</v>
      </c>
      <c r="I342">
        <f>SmtRes!Y456*Source!I484</f>
        <v>0.21840000000000001</v>
      </c>
      <c r="J342">
        <f>SmtRes!AO456</f>
        <v>1</v>
      </c>
      <c r="K342">
        <f>SmtRes!AE456</f>
        <v>616</v>
      </c>
      <c r="L342">
        <f>SmtRes!DB456</f>
        <v>3203.2</v>
      </c>
      <c r="M342">
        <f>ROUND(ROUND(L342*Source!I484, 2)*1, 2)</f>
        <v>134.53</v>
      </c>
      <c r="N342">
        <f>SmtRes!AA456</f>
        <v>6437.2</v>
      </c>
      <c r="O342">
        <f>ROUND(ROUND(L342*Source!I484, 2)*SmtRes!DA456, 2)</f>
        <v>1405.84</v>
      </c>
      <c r="P342">
        <f>SmtRes!AG456</f>
        <v>0</v>
      </c>
      <c r="Q342">
        <f>SmtRes!DC456</f>
        <v>0</v>
      </c>
      <c r="R342">
        <f>ROUND(ROUND(Q342*Source!I484, 2)*1, 2)</f>
        <v>0</v>
      </c>
      <c r="S342">
        <f>SmtRes!AC456</f>
        <v>0</v>
      </c>
      <c r="T342">
        <f>ROUND(ROUND(Q342*Source!I484, 2)*SmtRes!AK456, 2)</f>
        <v>0</v>
      </c>
      <c r="U342">
        <v>3</v>
      </c>
      <c r="Z342">
        <f>SmtRes!X456</f>
        <v>-980753548</v>
      </c>
      <c r="AA342">
        <v>-1548070375</v>
      </c>
      <c r="AB342">
        <v>-2055478137</v>
      </c>
    </row>
    <row r="343" spans="1:28" x14ac:dyDescent="0.2">
      <c r="A343">
        <v>20</v>
      </c>
      <c r="B343">
        <v>453</v>
      </c>
      <c r="C343">
        <v>3</v>
      </c>
      <c r="D343">
        <v>0</v>
      </c>
      <c r="E343">
        <f>SmtRes!AV453</f>
        <v>0</v>
      </c>
      <c r="F343" t="str">
        <f>SmtRes!I453</f>
        <v>101-2611</v>
      </c>
      <c r="G343" t="str">
        <f>SmtRes!K453</f>
        <v>Опалубка металлическая</v>
      </c>
      <c r="H343" t="str">
        <f>SmtRes!O453</f>
        <v>т</v>
      </c>
      <c r="I343">
        <f>SmtRes!Y453*Source!I484</f>
        <v>7.9799999999999999E-4</v>
      </c>
      <c r="J343">
        <f>SmtRes!AO453</f>
        <v>1</v>
      </c>
      <c r="K343">
        <f>SmtRes!AE453</f>
        <v>4434.3999999999996</v>
      </c>
      <c r="L343">
        <f>SmtRes!DB453</f>
        <v>84.25</v>
      </c>
      <c r="M343">
        <f>ROUND(ROUND(L343*Source!I484, 2)*1, 2)</f>
        <v>3.54</v>
      </c>
      <c r="N343">
        <f>SmtRes!AA453</f>
        <v>109662.71</v>
      </c>
      <c r="O343">
        <f>ROUND(ROUND(L343*Source!I484, 2)*SmtRes!DA453, 2)</f>
        <v>87.54</v>
      </c>
      <c r="P343">
        <f>SmtRes!AG453</f>
        <v>0</v>
      </c>
      <c r="Q343">
        <f>SmtRes!DC453</f>
        <v>0</v>
      </c>
      <c r="R343">
        <f>ROUND(ROUND(Q343*Source!I484, 2)*1, 2)</f>
        <v>0</v>
      </c>
      <c r="S343">
        <f>SmtRes!AC453</f>
        <v>0</v>
      </c>
      <c r="T343">
        <f>ROUND(ROUND(Q343*Source!I484, 2)*SmtRes!AK453, 2)</f>
        <v>0</v>
      </c>
      <c r="U343">
        <v>3</v>
      </c>
      <c r="Z343">
        <f>SmtRes!X453</f>
        <v>1177854694</v>
      </c>
      <c r="AA343">
        <v>539660843</v>
      </c>
      <c r="AB343">
        <v>-1668873845</v>
      </c>
    </row>
    <row r="344" spans="1:28" x14ac:dyDescent="0.2">
      <c r="A344">
        <v>20</v>
      </c>
      <c r="B344">
        <v>452</v>
      </c>
      <c r="C344">
        <v>3</v>
      </c>
      <c r="D344">
        <v>0</v>
      </c>
      <c r="E344">
        <f>SmtRes!AV452</f>
        <v>0</v>
      </c>
      <c r="F344" t="str">
        <f>SmtRes!I452</f>
        <v>101-1305</v>
      </c>
      <c r="G344" t="str">
        <f>SmtRes!K452</f>
        <v>Портландцемент общестроительного назначения бездобавочный, марки 400</v>
      </c>
      <c r="H344" t="str">
        <f>SmtRes!O452</f>
        <v>т</v>
      </c>
      <c r="I344">
        <f>SmtRes!Y452*Source!I484</f>
        <v>2.9400000000000004E-4</v>
      </c>
      <c r="J344">
        <f>SmtRes!AO452</f>
        <v>1</v>
      </c>
      <c r="K344">
        <f>SmtRes!AE452</f>
        <v>499.7</v>
      </c>
      <c r="L344">
        <f>SmtRes!DB452</f>
        <v>3.5</v>
      </c>
      <c r="M344">
        <f>ROUND(ROUND(L344*Source!I484, 2)*1, 2)</f>
        <v>0.15</v>
      </c>
      <c r="N344">
        <f>SmtRes!AA452</f>
        <v>7835.3</v>
      </c>
      <c r="O344">
        <f>ROUND(ROUND(L344*Source!I484, 2)*SmtRes!DA452, 2)</f>
        <v>2.35</v>
      </c>
      <c r="P344">
        <f>SmtRes!AG452</f>
        <v>0</v>
      </c>
      <c r="Q344">
        <f>SmtRes!DC452</f>
        <v>0</v>
      </c>
      <c r="R344">
        <f>ROUND(ROUND(Q344*Source!I484, 2)*1, 2)</f>
        <v>0</v>
      </c>
      <c r="S344">
        <f>SmtRes!AC452</f>
        <v>0</v>
      </c>
      <c r="T344">
        <f>ROUND(ROUND(Q344*Source!I484, 2)*SmtRes!AK452, 2)</f>
        <v>0</v>
      </c>
      <c r="U344">
        <v>3</v>
      </c>
      <c r="Z344">
        <f>SmtRes!X452</f>
        <v>1511519305</v>
      </c>
      <c r="AA344">
        <v>71622540</v>
      </c>
      <c r="AB344">
        <v>-1764049248</v>
      </c>
    </row>
    <row r="345" spans="1:28" x14ac:dyDescent="0.2">
      <c r="A345">
        <v>20</v>
      </c>
      <c r="B345">
        <v>451</v>
      </c>
      <c r="C345">
        <v>2</v>
      </c>
      <c r="D345">
        <v>0</v>
      </c>
      <c r="E345">
        <f>SmtRes!AV451</f>
        <v>0</v>
      </c>
      <c r="F345" t="str">
        <f>SmtRes!I451</f>
        <v>400001</v>
      </c>
      <c r="G345" t="str">
        <f>SmtRes!K451</f>
        <v>Автомобили бортовые, грузоподъемность до 5 т</v>
      </c>
      <c r="H345" t="str">
        <f>SmtRes!O451</f>
        <v>маш.-ч</v>
      </c>
      <c r="I345">
        <f>SmtRes!Y451*Source!I484</f>
        <v>0.26586000000000004</v>
      </c>
      <c r="J345">
        <f>SmtRes!AO451</f>
        <v>1</v>
      </c>
      <c r="K345">
        <f>SmtRes!AF451</f>
        <v>91.76</v>
      </c>
      <c r="L345">
        <f>SmtRes!DB451</f>
        <v>580.84</v>
      </c>
      <c r="M345">
        <f>ROUND(ROUND(L345*Source!I484, 2)*1, 2)</f>
        <v>24.4</v>
      </c>
      <c r="N345">
        <f>SmtRes!AB451</f>
        <v>1305.74</v>
      </c>
      <c r="O345">
        <f>ROUND(ROUND(L345*Source!I484, 2)*SmtRes!DA451, 2)</f>
        <v>347.21</v>
      </c>
      <c r="P345">
        <f>SmtRes!AG451</f>
        <v>10.35</v>
      </c>
      <c r="Q345">
        <f>SmtRes!DC451</f>
        <v>65.52</v>
      </c>
      <c r="R345">
        <f>ROUND(ROUND(Q345*Source!I484, 2)*1, 2)</f>
        <v>2.75</v>
      </c>
      <c r="S345">
        <f>SmtRes!AC451</f>
        <v>365.04</v>
      </c>
      <c r="T345">
        <f>ROUND(ROUND(Q345*Source!I484, 2)*SmtRes!AK451, 2)</f>
        <v>96.99</v>
      </c>
      <c r="U345">
        <v>2</v>
      </c>
      <c r="Z345">
        <f>SmtRes!X451</f>
        <v>-671646184</v>
      </c>
      <c r="AA345">
        <v>807713937</v>
      </c>
      <c r="AB345">
        <v>1619992053</v>
      </c>
    </row>
    <row r="346" spans="1:28" x14ac:dyDescent="0.2">
      <c r="A346">
        <v>20</v>
      </c>
      <c r="B346">
        <v>450</v>
      </c>
      <c r="C346">
        <v>2</v>
      </c>
      <c r="D346">
        <v>0</v>
      </c>
      <c r="E346">
        <f>SmtRes!AV450</f>
        <v>0</v>
      </c>
      <c r="F346" t="str">
        <f>SmtRes!I450</f>
        <v>331103</v>
      </c>
      <c r="G346" t="str">
        <f>SmtRes!K450</f>
        <v>Трамбовки электрические</v>
      </c>
      <c r="H346" t="str">
        <f>SmtRes!O450</f>
        <v>маш.-ч</v>
      </c>
      <c r="I346">
        <f>SmtRes!Y450*Source!I484</f>
        <v>1.0920000000000001E-2</v>
      </c>
      <c r="J346">
        <f>SmtRes!AO450</f>
        <v>1</v>
      </c>
      <c r="K346">
        <f>SmtRes!AF450</f>
        <v>7.42</v>
      </c>
      <c r="L346">
        <f>SmtRes!DB450</f>
        <v>1.93</v>
      </c>
      <c r="M346">
        <f>ROUND(ROUND(L346*Source!I484, 2)*1, 2)</f>
        <v>0.08</v>
      </c>
      <c r="N346">
        <f>SmtRes!AB450</f>
        <v>64.930000000000007</v>
      </c>
      <c r="O346">
        <f>ROUND(ROUND(L346*Source!I484, 2)*SmtRes!DA450, 2)</f>
        <v>0.7</v>
      </c>
      <c r="P346">
        <f>SmtRes!AG450</f>
        <v>0</v>
      </c>
      <c r="Q346">
        <f>SmtRes!DC450</f>
        <v>0</v>
      </c>
      <c r="R346">
        <f>ROUND(ROUND(Q346*Source!I484, 2)*1, 2)</f>
        <v>0</v>
      </c>
      <c r="S346">
        <f>SmtRes!AC450</f>
        <v>0</v>
      </c>
      <c r="T346">
        <f>ROUND(ROUND(Q346*Source!I484, 2)*SmtRes!AK450, 2)</f>
        <v>0</v>
      </c>
      <c r="U346">
        <v>2</v>
      </c>
      <c r="Z346">
        <f>SmtRes!X450</f>
        <v>1205657841</v>
      </c>
      <c r="AA346">
        <v>-1247865151</v>
      </c>
      <c r="AB346">
        <v>-1600494862</v>
      </c>
    </row>
    <row r="347" spans="1:28" x14ac:dyDescent="0.2">
      <c r="A347">
        <v>20</v>
      </c>
      <c r="B347">
        <v>449</v>
      </c>
      <c r="C347">
        <v>2</v>
      </c>
      <c r="D347">
        <v>0</v>
      </c>
      <c r="E347">
        <f>SmtRes!AV449</f>
        <v>0</v>
      </c>
      <c r="F347" t="str">
        <f>SmtRes!I449</f>
        <v>040102</v>
      </c>
      <c r="G347" t="str">
        <f>SmtRes!K449</f>
        <v>Электростанции передвижные 4 кВт</v>
      </c>
      <c r="H347" t="str">
        <f>SmtRes!O449</f>
        <v>маш.-ч</v>
      </c>
      <c r="I347">
        <f>SmtRes!Y449*Source!I484</f>
        <v>5.4600000000000004E-3</v>
      </c>
      <c r="J347">
        <f>SmtRes!AO449</f>
        <v>1</v>
      </c>
      <c r="K347">
        <f>SmtRes!AF449</f>
        <v>29.26</v>
      </c>
      <c r="L347">
        <f>SmtRes!DB449</f>
        <v>3.8</v>
      </c>
      <c r="M347">
        <f>ROUND(ROUND(L347*Source!I484, 2)*1, 2)</f>
        <v>0.16</v>
      </c>
      <c r="N347">
        <f>SmtRes!AB449</f>
        <v>518.19000000000005</v>
      </c>
      <c r="O347">
        <f>ROUND(ROUND(L347*Source!I484, 2)*SmtRes!DA449, 2)</f>
        <v>2.83</v>
      </c>
      <c r="P347">
        <f>SmtRes!AG449</f>
        <v>10.35</v>
      </c>
      <c r="Q347">
        <f>SmtRes!DC449</f>
        <v>1.35</v>
      </c>
      <c r="R347">
        <f>ROUND(ROUND(Q347*Source!I484, 2)*1, 2)</f>
        <v>0.06</v>
      </c>
      <c r="S347">
        <f>SmtRes!AC449</f>
        <v>365.04</v>
      </c>
      <c r="T347">
        <f>ROUND(ROUND(Q347*Source!I484, 2)*SmtRes!AK449, 2)</f>
        <v>2.12</v>
      </c>
      <c r="U347">
        <v>2</v>
      </c>
      <c r="Z347">
        <f>SmtRes!X449</f>
        <v>245639009</v>
      </c>
      <c r="AA347">
        <v>61846719</v>
      </c>
      <c r="AB347">
        <v>-642055349</v>
      </c>
    </row>
    <row r="348" spans="1:28" x14ac:dyDescent="0.2">
      <c r="A348">
        <v>20</v>
      </c>
      <c r="B348">
        <v>448</v>
      </c>
      <c r="C348">
        <v>2</v>
      </c>
      <c r="D348">
        <v>0</v>
      </c>
      <c r="E348">
        <f>SmtRes!AV448</f>
        <v>0</v>
      </c>
      <c r="F348" t="str">
        <f>SmtRes!I448</f>
        <v>030101</v>
      </c>
      <c r="G348" t="str">
        <f>SmtRes!K448</f>
        <v>Автопогрузчики 5 т</v>
      </c>
      <c r="H348" t="str">
        <f>SmtRes!O448</f>
        <v>маш.-ч</v>
      </c>
      <c r="I348">
        <f>SmtRes!Y448*Source!I484</f>
        <v>6.7200000000000003E-3</v>
      </c>
      <c r="J348">
        <f>SmtRes!AO448</f>
        <v>1</v>
      </c>
      <c r="K348">
        <f>SmtRes!AF448</f>
        <v>87.24</v>
      </c>
      <c r="L348">
        <f>SmtRes!DB448</f>
        <v>13.96</v>
      </c>
      <c r="M348">
        <f>ROUND(ROUND(L348*Source!I484, 2)*1, 2)</f>
        <v>0.59</v>
      </c>
      <c r="N348">
        <f>SmtRes!AB448</f>
        <v>2230.73</v>
      </c>
      <c r="O348">
        <f>ROUND(ROUND(L348*Source!I484, 2)*SmtRes!DA448, 2)</f>
        <v>15.09</v>
      </c>
      <c r="P348">
        <f>SmtRes!AG448</f>
        <v>9</v>
      </c>
      <c r="Q348">
        <f>SmtRes!DC448</f>
        <v>1.44</v>
      </c>
      <c r="R348">
        <f>ROUND(ROUND(Q348*Source!I484, 2)*1, 2)</f>
        <v>0.06</v>
      </c>
      <c r="S348">
        <f>SmtRes!AC448</f>
        <v>317.43</v>
      </c>
      <c r="T348">
        <f>ROUND(ROUND(Q348*Source!I484, 2)*SmtRes!AK448, 2)</f>
        <v>2.12</v>
      </c>
      <c r="U348">
        <v>2</v>
      </c>
      <c r="Z348">
        <f>SmtRes!X448</f>
        <v>-674318163</v>
      </c>
      <c r="AA348">
        <v>-1657392001</v>
      </c>
      <c r="AB348">
        <v>-771525458</v>
      </c>
    </row>
    <row r="349" spans="1:28" x14ac:dyDescent="0.2">
      <c r="A349">
        <v>20</v>
      </c>
      <c r="B349">
        <v>447</v>
      </c>
      <c r="C349">
        <v>2</v>
      </c>
      <c r="D349">
        <v>0</v>
      </c>
      <c r="E349">
        <f>SmtRes!AV447</f>
        <v>0</v>
      </c>
      <c r="F349" t="str">
        <f>SmtRes!I447</f>
        <v>021141</v>
      </c>
      <c r="G349" t="str">
        <f>SmtRes!K447</f>
        <v>Краны на автомобильном ходу при работе на других видах строительства 10 т</v>
      </c>
      <c r="H349" t="str">
        <f>SmtRes!O447</f>
        <v>маш.-ч</v>
      </c>
      <c r="I349">
        <f>SmtRes!Y447*Source!I484</f>
        <v>0.44856000000000001</v>
      </c>
      <c r="J349">
        <f>SmtRes!AO447</f>
        <v>1</v>
      </c>
      <c r="K349">
        <f>SmtRes!AF447</f>
        <v>124.14</v>
      </c>
      <c r="L349">
        <f>SmtRes!DB447</f>
        <v>1325.82</v>
      </c>
      <c r="M349">
        <f>ROUND(ROUND(L349*Source!I484, 2)*1, 2)</f>
        <v>55.68</v>
      </c>
      <c r="N349">
        <f>SmtRes!AB447</f>
        <v>1453.68</v>
      </c>
      <c r="O349">
        <f>ROUND(ROUND(L349*Source!I484, 2)*SmtRes!DA447, 2)</f>
        <v>652.01</v>
      </c>
      <c r="P349">
        <f>SmtRes!AG447</f>
        <v>12.1</v>
      </c>
      <c r="Q349">
        <f>SmtRes!DC447</f>
        <v>129.22999999999999</v>
      </c>
      <c r="R349">
        <f>ROUND(ROUND(Q349*Source!I484, 2)*1, 2)</f>
        <v>5.43</v>
      </c>
      <c r="S349">
        <f>SmtRes!AC447</f>
        <v>426.77</v>
      </c>
      <c r="T349">
        <f>ROUND(ROUND(Q349*Source!I484, 2)*SmtRes!AK447, 2)</f>
        <v>191.52</v>
      </c>
      <c r="U349">
        <v>2</v>
      </c>
      <c r="Z349">
        <f>SmtRes!X447</f>
        <v>1447433125</v>
      </c>
      <c r="AA349">
        <v>1854632627</v>
      </c>
      <c r="AB349">
        <v>887395808</v>
      </c>
    </row>
    <row r="350" spans="1:28" x14ac:dyDescent="0.2">
      <c r="A350">
        <v>20</v>
      </c>
      <c r="B350">
        <v>445</v>
      </c>
      <c r="C350">
        <v>1</v>
      </c>
      <c r="D350">
        <v>0</v>
      </c>
      <c r="E350">
        <f>SmtRes!AV445</f>
        <v>1</v>
      </c>
      <c r="F350" t="str">
        <f>SmtRes!I445</f>
        <v>1-1035-21</v>
      </c>
      <c r="G350" t="str">
        <f>SmtRes!K445</f>
        <v>Рабочий строитель среднего разряда 3,5</v>
      </c>
      <c r="H350" t="str">
        <f>SmtRes!O445</f>
        <v>чел.-ч</v>
      </c>
      <c r="I350">
        <f>SmtRes!Y445*Source!I484</f>
        <v>4.0551000000000004</v>
      </c>
      <c r="J350">
        <f>SmtRes!AO445</f>
        <v>1</v>
      </c>
      <c r="K350">
        <f>SmtRes!AH445</f>
        <v>8.48</v>
      </c>
      <c r="L350">
        <f>SmtRes!DB445</f>
        <v>818.74</v>
      </c>
      <c r="M350">
        <f>ROUND(ROUND(L350*Source!I484, 2)*1, 2)</f>
        <v>34.39</v>
      </c>
      <c r="N350">
        <f>SmtRes!AD445</f>
        <v>8.48</v>
      </c>
      <c r="O350">
        <f>ROUND(ROUND(L350*Source!I484, 2)*SmtRes!DA445, 2)</f>
        <v>34.39</v>
      </c>
      <c r="P350">
        <f>SmtRes!AG445</f>
        <v>0</v>
      </c>
      <c r="Q350">
        <f>SmtRes!DC445</f>
        <v>0</v>
      </c>
      <c r="R350">
        <f>ROUND(ROUND(Q350*Source!I484, 2)*1, 2)</f>
        <v>0</v>
      </c>
      <c r="S350">
        <f>SmtRes!AC445</f>
        <v>0</v>
      </c>
      <c r="T350">
        <f>ROUND(ROUND(Q350*Source!I484, 2)*SmtRes!AK445, 2)</f>
        <v>0</v>
      </c>
      <c r="U350">
        <v>1</v>
      </c>
      <c r="Z350">
        <f>SmtRes!X445</f>
        <v>2002501603</v>
      </c>
      <c r="AA350">
        <v>1980744066</v>
      </c>
      <c r="AB350">
        <v>-1857114646</v>
      </c>
    </row>
    <row r="351" spans="1:28" x14ac:dyDescent="0.2">
      <c r="A351">
        <f>Source!A487</f>
        <v>17</v>
      </c>
      <c r="B351">
        <v>487</v>
      </c>
      <c r="C351">
        <v>3</v>
      </c>
      <c r="D351">
        <f>Source!BI487</f>
        <v>1</v>
      </c>
      <c r="E351">
        <f>Source!FS487</f>
        <v>0</v>
      </c>
      <c r="F351" t="str">
        <f>Source!F487</f>
        <v>403-8272</v>
      </c>
      <c r="G351" t="str">
        <f>Source!G487</f>
        <v>Кольцо стеновое смотровых колодцев КС10.9 /бетон В15 (М200), объем 0,24 м3, расход арматуры 5,66 кг/ (серия 3.900.1-14)</v>
      </c>
      <c r="H351" t="str">
        <f>Source!H487</f>
        <v>шт.</v>
      </c>
      <c r="I351">
        <f>Source!I487</f>
        <v>1</v>
      </c>
      <c r="J351">
        <v>1</v>
      </c>
      <c r="K351">
        <f>Source!AC487</f>
        <v>325</v>
      </c>
      <c r="M351">
        <f>ROUND(K351*I351, 2)</f>
        <v>325</v>
      </c>
      <c r="N351">
        <f>Source!AC487*IF(Source!BC487&lt;&gt; 0, Source!BC487, 1)</f>
        <v>4670.25</v>
      </c>
      <c r="O351">
        <f>ROUND(N351*I351, 2)</f>
        <v>4670.25</v>
      </c>
      <c r="P351">
        <f>Source!AE487</f>
        <v>0</v>
      </c>
      <c r="R351">
        <f>ROUND(P351*I351, 2)</f>
        <v>0</v>
      </c>
      <c r="S351">
        <f>Source!AE487*IF(Source!BS487&lt;&gt; 0, Source!BS487, 1)</f>
        <v>0</v>
      </c>
      <c r="T351">
        <f>ROUND(S351*I351, 2)</f>
        <v>0</v>
      </c>
      <c r="U351">
        <v>3</v>
      </c>
      <c r="Z351">
        <f>Source!GF487</f>
        <v>-1406987459</v>
      </c>
      <c r="AA351">
        <v>234331795</v>
      </c>
      <c r="AB351">
        <v>-2130301237</v>
      </c>
    </row>
    <row r="352" spans="1:28" x14ac:dyDescent="0.2">
      <c r="A352">
        <f>Source!A488</f>
        <v>17</v>
      </c>
      <c r="B352">
        <v>488</v>
      </c>
      <c r="C352">
        <v>3</v>
      </c>
      <c r="D352">
        <f>Source!BI488</f>
        <v>1</v>
      </c>
      <c r="E352">
        <f>Source!FS488</f>
        <v>0</v>
      </c>
      <c r="F352" t="str">
        <f>Source!F488</f>
        <v>403-8241</v>
      </c>
      <c r="G352" t="str">
        <f>Source!G488</f>
        <v>Плита днища ПН10 /бетон В15 (М200), объем 0,18 м3, расход ар-ры 15,14 кг / (серия 3.900.1-14)</v>
      </c>
      <c r="H352" t="str">
        <f>Source!H488</f>
        <v>шт.</v>
      </c>
      <c r="I352">
        <f>Source!I488</f>
        <v>1</v>
      </c>
      <c r="J352">
        <v>1</v>
      </c>
      <c r="K352">
        <f>Source!AC488</f>
        <v>159.36000000000001</v>
      </c>
      <c r="M352">
        <f>ROUND(K352*I352, 2)</f>
        <v>159.36000000000001</v>
      </c>
      <c r="N352">
        <f>Source!AC488*IF(Source!BC488&lt;&gt; 0, Source!BC488, 1)</f>
        <v>3968.0640000000003</v>
      </c>
      <c r="O352">
        <f>ROUND(N352*I352, 2)</f>
        <v>3968.06</v>
      </c>
      <c r="P352">
        <f>Source!AE488</f>
        <v>0</v>
      </c>
      <c r="R352">
        <f>ROUND(P352*I352, 2)</f>
        <v>0</v>
      </c>
      <c r="S352">
        <f>Source!AE488*IF(Source!BS488&lt;&gt; 0, Source!BS488, 1)</f>
        <v>0</v>
      </c>
      <c r="T352">
        <f>ROUND(S352*I352, 2)</f>
        <v>0</v>
      </c>
      <c r="U352">
        <v>3</v>
      </c>
      <c r="Z352">
        <f>Source!GF488</f>
        <v>-643235294</v>
      </c>
      <c r="AA352">
        <v>150420217</v>
      </c>
      <c r="AB352">
        <v>-1796619469</v>
      </c>
    </row>
    <row r="353" spans="1:28" x14ac:dyDescent="0.2">
      <c r="A353">
        <v>20</v>
      </c>
      <c r="B353">
        <v>474</v>
      </c>
      <c r="C353">
        <v>3</v>
      </c>
      <c r="D353">
        <v>0</v>
      </c>
      <c r="E353">
        <f>SmtRes!AV474</f>
        <v>0</v>
      </c>
      <c r="F353" t="str">
        <f>SmtRes!I474</f>
        <v>113-1777</v>
      </c>
      <c r="G353" t="str">
        <f>SmtRes!K474</f>
        <v>Паста антисептическая</v>
      </c>
      <c r="H353" t="str">
        <f>SmtRes!O474</f>
        <v>т</v>
      </c>
      <c r="I353">
        <f>SmtRes!Y474*Source!I489</f>
        <v>2.5284000000000001E-3</v>
      </c>
      <c r="J353">
        <f>SmtRes!AO474</f>
        <v>1</v>
      </c>
      <c r="K353">
        <f>SmtRes!AE474</f>
        <v>15255</v>
      </c>
      <c r="L353">
        <f>SmtRes!DB474</f>
        <v>45.92</v>
      </c>
      <c r="M353">
        <f>ROUND(ROUND(L353*Source!I489, 2)*1, 2)</f>
        <v>38.57</v>
      </c>
      <c r="N353">
        <f>SmtRes!AA474</f>
        <v>138057.75</v>
      </c>
      <c r="O353">
        <f>ROUND(ROUND(L353*Source!I489, 2)*SmtRes!DA474, 2)</f>
        <v>349.06</v>
      </c>
      <c r="P353">
        <f>SmtRes!AG474</f>
        <v>0</v>
      </c>
      <c r="Q353">
        <f>SmtRes!DC474</f>
        <v>0</v>
      </c>
      <c r="R353">
        <f>ROUND(ROUND(Q353*Source!I489, 2)*1, 2)</f>
        <v>0</v>
      </c>
      <c r="S353">
        <f>SmtRes!AC474</f>
        <v>0</v>
      </c>
      <c r="T353">
        <f>ROUND(ROUND(Q353*Source!I489, 2)*SmtRes!AK474, 2)</f>
        <v>0</v>
      </c>
      <c r="U353">
        <v>3</v>
      </c>
      <c r="Z353">
        <f>SmtRes!X474</f>
        <v>-1611181314</v>
      </c>
      <c r="AA353">
        <v>40812748</v>
      </c>
      <c r="AB353">
        <v>-1875317819</v>
      </c>
    </row>
    <row r="354" spans="1:28" x14ac:dyDescent="0.2">
      <c r="A354">
        <v>20</v>
      </c>
      <c r="B354">
        <v>473</v>
      </c>
      <c r="C354">
        <v>3</v>
      </c>
      <c r="D354">
        <v>0</v>
      </c>
      <c r="E354">
        <f>SmtRes!AV473</f>
        <v>0</v>
      </c>
      <c r="F354" t="str">
        <f>SmtRes!I473</f>
        <v>102-0077</v>
      </c>
      <c r="G354" t="str">
        <f>SmtRes!K473</f>
        <v>Доски необрезные хвойных пород длиной 4-6,5 м, все ширины, толщиной 32-40 мм, III сорта</v>
      </c>
      <c r="H354" t="str">
        <f>SmtRes!O473</f>
        <v>м3</v>
      </c>
      <c r="I354">
        <f>SmtRes!Y473*Source!I489</f>
        <v>8.3999999999999995E-3</v>
      </c>
      <c r="J354">
        <f>SmtRes!AO473</f>
        <v>1</v>
      </c>
      <c r="K354">
        <f>SmtRes!AE473</f>
        <v>802.21</v>
      </c>
      <c r="L354">
        <f>SmtRes!DB473</f>
        <v>8.02</v>
      </c>
      <c r="M354">
        <f>ROUND(ROUND(L354*Source!I489, 2)*1, 2)</f>
        <v>6.74</v>
      </c>
      <c r="N354">
        <f>SmtRes!AA473</f>
        <v>8086.28</v>
      </c>
      <c r="O354">
        <f>ROUND(ROUND(L354*Source!I489, 2)*SmtRes!DA473, 2)</f>
        <v>67.94</v>
      </c>
      <c r="P354">
        <f>SmtRes!AG473</f>
        <v>0</v>
      </c>
      <c r="Q354">
        <f>SmtRes!DC473</f>
        <v>0</v>
      </c>
      <c r="R354">
        <f>ROUND(ROUND(Q354*Source!I489, 2)*1, 2)</f>
        <v>0</v>
      </c>
      <c r="S354">
        <f>SmtRes!AC473</f>
        <v>0</v>
      </c>
      <c r="T354">
        <f>ROUND(ROUND(Q354*Source!I489, 2)*SmtRes!AK473, 2)</f>
        <v>0</v>
      </c>
      <c r="U354">
        <v>3</v>
      </c>
      <c r="Z354">
        <f>SmtRes!X473</f>
        <v>-512952624</v>
      </c>
      <c r="AA354">
        <v>965555172</v>
      </c>
      <c r="AB354">
        <v>-1418560212</v>
      </c>
    </row>
    <row r="355" spans="1:28" x14ac:dyDescent="0.2">
      <c r="A355">
        <v>20</v>
      </c>
      <c r="B355">
        <v>472</v>
      </c>
      <c r="C355">
        <v>3</v>
      </c>
      <c r="D355">
        <v>0</v>
      </c>
      <c r="E355">
        <f>SmtRes!AV472</f>
        <v>0</v>
      </c>
      <c r="F355" t="str">
        <f>SmtRes!I472</f>
        <v>102-0060</v>
      </c>
      <c r="G355" t="str">
        <f>SmtRes!K472</f>
        <v>Доски обрезные хвойных пород длиной 4-6,5 м, шириной 75-150 мм, толщиной 44 мм и более, II сорта</v>
      </c>
      <c r="H355" t="str">
        <f>SmtRes!O472</f>
        <v>м3</v>
      </c>
      <c r="I355">
        <f>SmtRes!Y472*Source!I489</f>
        <v>0.10079999999999999</v>
      </c>
      <c r="J355">
        <f>SmtRes!AO472</f>
        <v>1</v>
      </c>
      <c r="K355">
        <f>SmtRes!AE472</f>
        <v>1104</v>
      </c>
      <c r="L355">
        <f>SmtRes!DB472</f>
        <v>132.47999999999999</v>
      </c>
      <c r="M355">
        <f>ROUND(ROUND(L355*Source!I489, 2)*1, 2)</f>
        <v>111.28</v>
      </c>
      <c r="N355">
        <f>SmtRes!AA472</f>
        <v>18569.28</v>
      </c>
      <c r="O355">
        <f>ROUND(ROUND(L355*Source!I489, 2)*SmtRes!DA472, 2)</f>
        <v>1871.73</v>
      </c>
      <c r="P355">
        <f>SmtRes!AG472</f>
        <v>0</v>
      </c>
      <c r="Q355">
        <f>SmtRes!DC472</f>
        <v>0</v>
      </c>
      <c r="R355">
        <f>ROUND(ROUND(Q355*Source!I489, 2)*1, 2)</f>
        <v>0</v>
      </c>
      <c r="S355">
        <f>SmtRes!AC472</f>
        <v>0</v>
      </c>
      <c r="T355">
        <f>ROUND(ROUND(Q355*Source!I489, 2)*SmtRes!AK472, 2)</f>
        <v>0</v>
      </c>
      <c r="U355">
        <v>3</v>
      </c>
      <c r="Z355">
        <f>SmtRes!X472</f>
        <v>1656702119</v>
      </c>
      <c r="AA355">
        <v>41735050</v>
      </c>
      <c r="AB355">
        <v>1057774501</v>
      </c>
    </row>
    <row r="356" spans="1:28" x14ac:dyDescent="0.2">
      <c r="A356">
        <v>20</v>
      </c>
      <c r="B356">
        <v>471</v>
      </c>
      <c r="C356">
        <v>3</v>
      </c>
      <c r="D356">
        <v>0</v>
      </c>
      <c r="E356">
        <f>SmtRes!AV471</f>
        <v>0</v>
      </c>
      <c r="F356" t="str">
        <f>SmtRes!I471</f>
        <v>102-0028</v>
      </c>
      <c r="G356" t="str">
        <f>SmtRes!K471</f>
        <v>Бруски обрезные хвойных пород длиной 4-6,5 м, шириной 75-150 мм, толщиной 100, 125 мм, II сорта</v>
      </c>
      <c r="H356" t="str">
        <f>SmtRes!O471</f>
        <v>м3</v>
      </c>
      <c r="I356">
        <f>SmtRes!Y471*Source!I489</f>
        <v>0.78120000000000001</v>
      </c>
      <c r="J356">
        <f>SmtRes!AO471</f>
        <v>1</v>
      </c>
      <c r="K356">
        <f>SmtRes!AE471</f>
        <v>1656</v>
      </c>
      <c r="L356">
        <f>SmtRes!DB471</f>
        <v>1540.08</v>
      </c>
      <c r="M356">
        <f>ROUND(ROUND(L356*Source!I489, 2)*1, 2)</f>
        <v>1293.67</v>
      </c>
      <c r="N356">
        <f>SmtRes!AA471</f>
        <v>18563.759999999998</v>
      </c>
      <c r="O356">
        <f>ROUND(ROUND(L356*Source!I489, 2)*SmtRes!DA471, 2)</f>
        <v>14502.04</v>
      </c>
      <c r="P356">
        <f>SmtRes!AG471</f>
        <v>0</v>
      </c>
      <c r="Q356">
        <f>SmtRes!DC471</f>
        <v>0</v>
      </c>
      <c r="R356">
        <f>ROUND(ROUND(Q356*Source!I489, 2)*1, 2)</f>
        <v>0</v>
      </c>
      <c r="S356">
        <f>SmtRes!AC471</f>
        <v>0</v>
      </c>
      <c r="T356">
        <f>ROUND(ROUND(Q356*Source!I489, 2)*SmtRes!AK471, 2)</f>
        <v>0</v>
      </c>
      <c r="U356">
        <v>3</v>
      </c>
      <c r="Z356">
        <f>SmtRes!X471</f>
        <v>-567940266</v>
      </c>
      <c r="AA356">
        <v>-1067695740</v>
      </c>
      <c r="AB356">
        <v>-189647741</v>
      </c>
    </row>
    <row r="357" spans="1:28" x14ac:dyDescent="0.2">
      <c r="A357">
        <v>20</v>
      </c>
      <c r="B357">
        <v>470</v>
      </c>
      <c r="C357">
        <v>3</v>
      </c>
      <c r="D357">
        <v>0</v>
      </c>
      <c r="E357">
        <f>SmtRes!AV470</f>
        <v>0</v>
      </c>
      <c r="F357" t="str">
        <f>SmtRes!I470</f>
        <v>101-1805</v>
      </c>
      <c r="G357" t="str">
        <f>SmtRes!K470</f>
        <v>Гвозди строительные</v>
      </c>
      <c r="H357" t="str">
        <f>SmtRes!O470</f>
        <v>т</v>
      </c>
      <c r="I357">
        <f>SmtRes!Y470*Source!I489</f>
        <v>2.5200000000000001E-3</v>
      </c>
      <c r="J357">
        <f>SmtRes!AO470</f>
        <v>1</v>
      </c>
      <c r="K357">
        <f>SmtRes!AE470</f>
        <v>12936</v>
      </c>
      <c r="L357">
        <f>SmtRes!DB470</f>
        <v>38.81</v>
      </c>
      <c r="M357">
        <f>ROUND(ROUND(L357*Source!I489, 2)*1, 2)</f>
        <v>32.6</v>
      </c>
      <c r="N357">
        <f>SmtRes!AA470</f>
        <v>111120.24</v>
      </c>
      <c r="O357">
        <f>ROUND(ROUND(L357*Source!I489, 2)*SmtRes!DA470, 2)</f>
        <v>280.02999999999997</v>
      </c>
      <c r="P357">
        <f>SmtRes!AG470</f>
        <v>0</v>
      </c>
      <c r="Q357">
        <f>SmtRes!DC470</f>
        <v>0</v>
      </c>
      <c r="R357">
        <f>ROUND(ROUND(Q357*Source!I489, 2)*1, 2)</f>
        <v>0</v>
      </c>
      <c r="S357">
        <f>SmtRes!AC470</f>
        <v>0</v>
      </c>
      <c r="T357">
        <f>ROUND(ROUND(Q357*Source!I489, 2)*SmtRes!AK470, 2)</f>
        <v>0</v>
      </c>
      <c r="U357">
        <v>3</v>
      </c>
      <c r="Z357">
        <f>SmtRes!X470</f>
        <v>-667930777</v>
      </c>
      <c r="AA357">
        <v>73813288</v>
      </c>
      <c r="AB357">
        <v>1198263553</v>
      </c>
    </row>
    <row r="358" spans="1:28" x14ac:dyDescent="0.2">
      <c r="A358">
        <v>20</v>
      </c>
      <c r="B358">
        <v>469</v>
      </c>
      <c r="C358">
        <v>3</v>
      </c>
      <c r="D358">
        <v>0</v>
      </c>
      <c r="E358">
        <f>SmtRes!AV469</f>
        <v>0</v>
      </c>
      <c r="F358" t="str">
        <f>SmtRes!I469</f>
        <v>101-1742</v>
      </c>
      <c r="G358" t="str">
        <f>SmtRes!K469</f>
        <v>Толь с крупнозернистой посыпкой гидроизоляционный марки ТГ-350</v>
      </c>
      <c r="H358" t="str">
        <f>SmtRes!O469</f>
        <v>м2</v>
      </c>
      <c r="I358">
        <f>SmtRes!Y469*Source!I489</f>
        <v>1.218</v>
      </c>
      <c r="J358">
        <f>SmtRes!AO469</f>
        <v>1</v>
      </c>
      <c r="K358">
        <f>SmtRes!AE469</f>
        <v>5.82</v>
      </c>
      <c r="L358">
        <f>SmtRes!DB469</f>
        <v>8.44</v>
      </c>
      <c r="M358">
        <f>ROUND(ROUND(L358*Source!I489, 2)*1, 2)</f>
        <v>7.09</v>
      </c>
      <c r="N358">
        <f>SmtRes!AA469</f>
        <v>45.22</v>
      </c>
      <c r="O358">
        <f>ROUND(ROUND(L358*Source!I489, 2)*SmtRes!DA469, 2)</f>
        <v>55.09</v>
      </c>
      <c r="P358">
        <f>SmtRes!AG469</f>
        <v>0</v>
      </c>
      <c r="Q358">
        <f>SmtRes!DC469</f>
        <v>0</v>
      </c>
      <c r="R358">
        <f>ROUND(ROUND(Q358*Source!I489, 2)*1, 2)</f>
        <v>0</v>
      </c>
      <c r="S358">
        <f>SmtRes!AC469</f>
        <v>0</v>
      </c>
      <c r="T358">
        <f>ROUND(ROUND(Q358*Source!I489, 2)*SmtRes!AK469, 2)</f>
        <v>0</v>
      </c>
      <c r="U358">
        <v>3</v>
      </c>
      <c r="Z358">
        <f>SmtRes!X469</f>
        <v>1800201589</v>
      </c>
      <c r="AA358">
        <v>-530025902</v>
      </c>
      <c r="AB358">
        <v>-105205688</v>
      </c>
    </row>
    <row r="359" spans="1:28" x14ac:dyDescent="0.2">
      <c r="A359">
        <v>20</v>
      </c>
      <c r="B359">
        <v>468</v>
      </c>
      <c r="C359">
        <v>3</v>
      </c>
      <c r="D359">
        <v>0</v>
      </c>
      <c r="E359">
        <f>SmtRes!AV468</f>
        <v>0</v>
      </c>
      <c r="F359" t="str">
        <f>SmtRes!I468</f>
        <v>101-1714</v>
      </c>
      <c r="G359" t="str">
        <f>SmtRes!K468</f>
        <v>Болты с гайками и шайбами строительные</v>
      </c>
      <c r="H359" t="str">
        <f>SmtRes!O468</f>
        <v>т</v>
      </c>
      <c r="I359">
        <f>SmtRes!Y468*Source!I489</f>
        <v>6.2999999999999992E-3</v>
      </c>
      <c r="J359">
        <f>SmtRes!AO468</f>
        <v>1</v>
      </c>
      <c r="K359">
        <f>SmtRes!AE468</f>
        <v>9040.01</v>
      </c>
      <c r="L359">
        <f>SmtRes!DB468</f>
        <v>67.8</v>
      </c>
      <c r="M359">
        <f>ROUND(ROUND(L359*Source!I489, 2)*1, 2)</f>
        <v>56.95</v>
      </c>
      <c r="N359">
        <f>SmtRes!AA468</f>
        <v>208824.23</v>
      </c>
      <c r="O359">
        <f>ROUND(ROUND(L359*Source!I489, 2)*SmtRes!DA468, 2)</f>
        <v>1315.55</v>
      </c>
      <c r="P359">
        <f>SmtRes!AG468</f>
        <v>0</v>
      </c>
      <c r="Q359">
        <f>SmtRes!DC468</f>
        <v>0</v>
      </c>
      <c r="R359">
        <f>ROUND(ROUND(Q359*Source!I489, 2)*1, 2)</f>
        <v>0</v>
      </c>
      <c r="S359">
        <f>SmtRes!AC468</f>
        <v>0</v>
      </c>
      <c r="T359">
        <f>ROUND(ROUND(Q359*Source!I489, 2)*SmtRes!AK468, 2)</f>
        <v>0</v>
      </c>
      <c r="U359">
        <v>3</v>
      </c>
      <c r="Z359">
        <f>SmtRes!X468</f>
        <v>-384985709</v>
      </c>
      <c r="AA359">
        <v>1357882990</v>
      </c>
      <c r="AB359">
        <v>328055112</v>
      </c>
    </row>
    <row r="360" spans="1:28" x14ac:dyDescent="0.2">
      <c r="A360">
        <v>20</v>
      </c>
      <c r="B360">
        <v>467</v>
      </c>
      <c r="C360">
        <v>3</v>
      </c>
      <c r="D360">
        <v>0</v>
      </c>
      <c r="E360">
        <f>SmtRes!AV467</f>
        <v>0</v>
      </c>
      <c r="F360" t="str">
        <f>SmtRes!I467</f>
        <v>101-1591</v>
      </c>
      <c r="G360" t="str">
        <f>SmtRes!K467</f>
        <v>Смола каменноугольная для дорожного строительства</v>
      </c>
      <c r="H360" t="str">
        <f>SmtRes!O467</f>
        <v>т</v>
      </c>
      <c r="I360">
        <f>SmtRes!Y467*Source!I489</f>
        <v>2.1671999999999998E-3</v>
      </c>
      <c r="J360">
        <f>SmtRes!AO467</f>
        <v>1</v>
      </c>
      <c r="K360">
        <f>SmtRes!AE467</f>
        <v>1695</v>
      </c>
      <c r="L360">
        <f>SmtRes!DB467</f>
        <v>4.37</v>
      </c>
      <c r="M360">
        <f>ROUND(ROUND(L360*Source!I489, 2)*1, 2)</f>
        <v>3.67</v>
      </c>
      <c r="N360">
        <f>SmtRes!AA467</f>
        <v>16187.25</v>
      </c>
      <c r="O360">
        <f>ROUND(ROUND(L360*Source!I489, 2)*SmtRes!DA467, 2)</f>
        <v>35.049999999999997</v>
      </c>
      <c r="P360">
        <f>SmtRes!AG467</f>
        <v>0</v>
      </c>
      <c r="Q360">
        <f>SmtRes!DC467</f>
        <v>0</v>
      </c>
      <c r="R360">
        <f>ROUND(ROUND(Q360*Source!I489, 2)*1, 2)</f>
        <v>0</v>
      </c>
      <c r="S360">
        <f>SmtRes!AC467</f>
        <v>0</v>
      </c>
      <c r="T360">
        <f>ROUND(ROUND(Q360*Source!I489, 2)*SmtRes!AK467, 2)</f>
        <v>0</v>
      </c>
      <c r="U360">
        <v>3</v>
      </c>
      <c r="Z360">
        <f>SmtRes!X467</f>
        <v>1514578280</v>
      </c>
      <c r="AA360">
        <v>-2141270198</v>
      </c>
      <c r="AB360">
        <v>150181361</v>
      </c>
    </row>
    <row r="361" spans="1:28" x14ac:dyDescent="0.2">
      <c r="A361">
        <v>20</v>
      </c>
      <c r="B361">
        <v>466</v>
      </c>
      <c r="C361">
        <v>3</v>
      </c>
      <c r="D361">
        <v>0</v>
      </c>
      <c r="E361">
        <f>SmtRes!AV466</f>
        <v>0</v>
      </c>
      <c r="F361" t="str">
        <f>SmtRes!I466</f>
        <v>101-0783</v>
      </c>
      <c r="G361" t="str">
        <f>SmtRes!K466</f>
        <v>Поковки из квадратных заготовок, масса 2,825 кг</v>
      </c>
      <c r="H361" t="str">
        <f>SmtRes!O466</f>
        <v>т</v>
      </c>
      <c r="I361">
        <f>SmtRes!Y466*Source!I489</f>
        <v>2.604E-3</v>
      </c>
      <c r="J361">
        <f>SmtRes!AO466</f>
        <v>1</v>
      </c>
      <c r="K361">
        <f>SmtRes!AE466</f>
        <v>5989</v>
      </c>
      <c r="L361">
        <f>SmtRes!DB466</f>
        <v>18.57</v>
      </c>
      <c r="M361">
        <f>ROUND(ROUND(L361*Source!I489, 2)*1, 2)</f>
        <v>15.6</v>
      </c>
      <c r="N361">
        <f>SmtRes!AA466</f>
        <v>60069.67</v>
      </c>
      <c r="O361">
        <f>ROUND(ROUND(L361*Source!I489, 2)*SmtRes!DA466, 2)</f>
        <v>156.47</v>
      </c>
      <c r="P361">
        <f>SmtRes!AG466</f>
        <v>0</v>
      </c>
      <c r="Q361">
        <f>SmtRes!DC466</f>
        <v>0</v>
      </c>
      <c r="R361">
        <f>ROUND(ROUND(Q361*Source!I489, 2)*1, 2)</f>
        <v>0</v>
      </c>
      <c r="S361">
        <f>SmtRes!AC466</f>
        <v>0</v>
      </c>
      <c r="T361">
        <f>ROUND(ROUND(Q361*Source!I489, 2)*SmtRes!AK466, 2)</f>
        <v>0</v>
      </c>
      <c r="U361">
        <v>3</v>
      </c>
      <c r="Z361">
        <f>SmtRes!X466</f>
        <v>597897222</v>
      </c>
      <c r="AA361">
        <v>848099309</v>
      </c>
      <c r="AB361">
        <v>-1394755956</v>
      </c>
    </row>
    <row r="362" spans="1:28" x14ac:dyDescent="0.2">
      <c r="A362">
        <v>20</v>
      </c>
      <c r="B362">
        <v>465</v>
      </c>
      <c r="C362">
        <v>2</v>
      </c>
      <c r="D362">
        <v>0</v>
      </c>
      <c r="E362">
        <f>SmtRes!AV465</f>
        <v>0</v>
      </c>
      <c r="F362" t="str">
        <f>SmtRes!I465</f>
        <v>400001</v>
      </c>
      <c r="G362" t="str">
        <f>SmtRes!K465</f>
        <v>Автомобили бортовые, грузоподъемность до 5 т</v>
      </c>
      <c r="H362" t="str">
        <f>SmtRes!O465</f>
        <v>маш.-ч</v>
      </c>
      <c r="I362">
        <f>SmtRes!Y465*Source!I489</f>
        <v>0.3024</v>
      </c>
      <c r="J362">
        <f>SmtRes!AO465</f>
        <v>1</v>
      </c>
      <c r="K362">
        <f>SmtRes!AF465</f>
        <v>91.76</v>
      </c>
      <c r="L362">
        <f>SmtRes!DB465</f>
        <v>33.03</v>
      </c>
      <c r="M362">
        <f>ROUND(ROUND(L362*Source!I489, 2)*1, 2)</f>
        <v>27.75</v>
      </c>
      <c r="N362">
        <f>SmtRes!AB465</f>
        <v>1305.74</v>
      </c>
      <c r="O362">
        <f>ROUND(ROUND(L362*Source!I489, 2)*SmtRes!DA465, 2)</f>
        <v>394.88</v>
      </c>
      <c r="P362">
        <f>SmtRes!AG465</f>
        <v>10.35</v>
      </c>
      <c r="Q362">
        <f>SmtRes!DC465</f>
        <v>3.73</v>
      </c>
      <c r="R362">
        <f>ROUND(ROUND(Q362*Source!I489, 2)*1, 2)</f>
        <v>3.13</v>
      </c>
      <c r="S362">
        <f>SmtRes!AC465</f>
        <v>365.04</v>
      </c>
      <c r="T362">
        <f>ROUND(ROUND(Q362*Source!I489, 2)*SmtRes!AK465, 2)</f>
        <v>110.4</v>
      </c>
      <c r="U362">
        <v>2</v>
      </c>
      <c r="Z362">
        <f>SmtRes!X465</f>
        <v>-671646184</v>
      </c>
      <c r="AA362">
        <v>807713937</v>
      </c>
      <c r="AB362">
        <v>1619992053</v>
      </c>
    </row>
    <row r="363" spans="1:28" x14ac:dyDescent="0.2">
      <c r="A363">
        <v>20</v>
      </c>
      <c r="B363">
        <v>464</v>
      </c>
      <c r="C363">
        <v>2</v>
      </c>
      <c r="D363">
        <v>0</v>
      </c>
      <c r="E363">
        <f>SmtRes!AV464</f>
        <v>0</v>
      </c>
      <c r="F363" t="str">
        <f>SmtRes!I464</f>
        <v>331601</v>
      </c>
      <c r="G363" t="str">
        <f>SmtRes!K464</f>
        <v>Пила с карбюраторным двигателем</v>
      </c>
      <c r="H363" t="str">
        <f>SmtRes!O464</f>
        <v>маш.-ч</v>
      </c>
      <c r="I363">
        <f>SmtRes!Y464*Source!I489</f>
        <v>0.2772</v>
      </c>
      <c r="J363">
        <f>SmtRes!AO464</f>
        <v>1</v>
      </c>
      <c r="K363">
        <f>SmtRes!AF464</f>
        <v>5.63</v>
      </c>
      <c r="L363">
        <f>SmtRes!DB464</f>
        <v>1.86</v>
      </c>
      <c r="M363">
        <f>ROUND(ROUND(L363*Source!I489, 2)*1, 2)</f>
        <v>1.56</v>
      </c>
      <c r="N363">
        <f>SmtRes!AB464</f>
        <v>36.200000000000003</v>
      </c>
      <c r="O363">
        <f>ROUND(ROUND(L363*Source!I489, 2)*SmtRes!DA464, 2)</f>
        <v>10.029999999999999</v>
      </c>
      <c r="P363">
        <f>SmtRes!AG464</f>
        <v>0</v>
      </c>
      <c r="Q363">
        <f>SmtRes!DC464</f>
        <v>0</v>
      </c>
      <c r="R363">
        <f>ROUND(ROUND(Q363*Source!I489, 2)*1, 2)</f>
        <v>0</v>
      </c>
      <c r="S363">
        <f>SmtRes!AC464</f>
        <v>0</v>
      </c>
      <c r="T363">
        <f>ROUND(ROUND(Q363*Source!I489, 2)*SmtRes!AK464, 2)</f>
        <v>0</v>
      </c>
      <c r="U363">
        <v>2</v>
      </c>
      <c r="Z363">
        <f>SmtRes!X464</f>
        <v>-1981470537</v>
      </c>
      <c r="AA363">
        <v>1095459901</v>
      </c>
      <c r="AB363">
        <v>803684306</v>
      </c>
    </row>
    <row r="364" spans="1:28" x14ac:dyDescent="0.2">
      <c r="A364">
        <v>20</v>
      </c>
      <c r="B364">
        <v>463</v>
      </c>
      <c r="C364">
        <v>2</v>
      </c>
      <c r="D364">
        <v>0</v>
      </c>
      <c r="E364">
        <f>SmtRes!AV463</f>
        <v>0</v>
      </c>
      <c r="F364" t="str">
        <f>SmtRes!I463</f>
        <v>330206</v>
      </c>
      <c r="G364" t="str">
        <f>SmtRes!K463</f>
        <v>Дрели электрические</v>
      </c>
      <c r="H364" t="str">
        <f>SmtRes!O463</f>
        <v>маш.-ч</v>
      </c>
      <c r="I364">
        <f>SmtRes!Y463*Source!I489</f>
        <v>0.19320000000000001</v>
      </c>
      <c r="J364">
        <f>SmtRes!AO463</f>
        <v>1</v>
      </c>
      <c r="K364">
        <f>SmtRes!AF463</f>
        <v>2.15</v>
      </c>
      <c r="L364">
        <f>SmtRes!DB463</f>
        <v>0.49</v>
      </c>
      <c r="M364">
        <f>ROUND(ROUND(L364*Source!I489, 2)*1, 2)</f>
        <v>0.41</v>
      </c>
      <c r="N364">
        <f>SmtRes!AB463</f>
        <v>12.13</v>
      </c>
      <c r="O364">
        <f>ROUND(ROUND(L364*Source!I489, 2)*SmtRes!DA463, 2)</f>
        <v>2.31</v>
      </c>
      <c r="P364">
        <f>SmtRes!AG463</f>
        <v>0</v>
      </c>
      <c r="Q364">
        <f>SmtRes!DC463</f>
        <v>0</v>
      </c>
      <c r="R364">
        <f>ROUND(ROUND(Q364*Source!I489, 2)*1, 2)</f>
        <v>0</v>
      </c>
      <c r="S364">
        <f>SmtRes!AC463</f>
        <v>0</v>
      </c>
      <c r="T364">
        <f>ROUND(ROUND(Q364*Source!I489, 2)*SmtRes!AK463, 2)</f>
        <v>0</v>
      </c>
      <c r="U364">
        <v>2</v>
      </c>
      <c r="Z364">
        <f>SmtRes!X463</f>
        <v>835824343</v>
      </c>
      <c r="AA364">
        <v>-508374777</v>
      </c>
      <c r="AB364">
        <v>70027163</v>
      </c>
    </row>
    <row r="365" spans="1:28" x14ac:dyDescent="0.2">
      <c r="A365">
        <v>20</v>
      </c>
      <c r="B365">
        <v>462</v>
      </c>
      <c r="C365">
        <v>1</v>
      </c>
      <c r="D365">
        <v>0</v>
      </c>
      <c r="E365">
        <f>SmtRes!AV462</f>
        <v>1</v>
      </c>
      <c r="F365" t="str">
        <f>SmtRes!I462</f>
        <v>1-1028-21</v>
      </c>
      <c r="G365" t="str">
        <f>SmtRes!K462</f>
        <v>Рабочий строитель среднего разряда 2,8</v>
      </c>
      <c r="H365" t="str">
        <f>SmtRes!O462</f>
        <v>чел.-ч</v>
      </c>
      <c r="I365">
        <f>SmtRes!Y462*Source!I489</f>
        <v>18.899999999999999</v>
      </c>
      <c r="J365">
        <f>SmtRes!AO462</f>
        <v>1</v>
      </c>
      <c r="K365">
        <f>SmtRes!AH462</f>
        <v>7.84</v>
      </c>
      <c r="L365">
        <f>SmtRes!DB462</f>
        <v>176.4</v>
      </c>
      <c r="M365">
        <f>ROUND(ROUND(L365*Source!I489, 2)*1, 2)</f>
        <v>148.18</v>
      </c>
      <c r="N365">
        <f>SmtRes!AD462</f>
        <v>7.84</v>
      </c>
      <c r="O365">
        <f>ROUND(ROUND(L365*Source!I489, 2)*SmtRes!DA462, 2)</f>
        <v>148.18</v>
      </c>
      <c r="P365">
        <f>SmtRes!AG462</f>
        <v>0</v>
      </c>
      <c r="Q365">
        <f>SmtRes!DC462</f>
        <v>0</v>
      </c>
      <c r="R365">
        <f>ROUND(ROUND(Q365*Source!I489, 2)*1, 2)</f>
        <v>0</v>
      </c>
      <c r="S365">
        <f>SmtRes!AC462</f>
        <v>0</v>
      </c>
      <c r="T365">
        <f>ROUND(ROUND(Q365*Source!I489, 2)*SmtRes!AK462, 2)</f>
        <v>0</v>
      </c>
      <c r="U365">
        <v>1</v>
      </c>
      <c r="Z365">
        <f>SmtRes!X462</f>
        <v>-1735155240</v>
      </c>
      <c r="AA365">
        <v>-1550127149</v>
      </c>
      <c r="AB365">
        <v>-926811309</v>
      </c>
    </row>
    <row r="366" spans="1:28" x14ac:dyDescent="0.2">
      <c r="A366">
        <v>20</v>
      </c>
      <c r="B366">
        <v>482</v>
      </c>
      <c r="C366">
        <v>3</v>
      </c>
      <c r="D366">
        <v>0</v>
      </c>
      <c r="E366">
        <f>SmtRes!AV482</f>
        <v>0</v>
      </c>
      <c r="F366" t="str">
        <f>SmtRes!I482</f>
        <v>203-0367</v>
      </c>
      <c r="G366" t="str">
        <f>SmtRes!K482</f>
        <v>Обшивка наружная и внутренняя из древесины тип 0-1; 0-2; 0-3 толщиной 13 мм, шириной без гребня от 70 до 90 мм</v>
      </c>
      <c r="H366" t="str">
        <f>SmtRes!O482</f>
        <v>м3</v>
      </c>
      <c r="I366">
        <f>SmtRes!Y482*Source!I490</f>
        <v>0.17159999999999997</v>
      </c>
      <c r="J366">
        <f>SmtRes!AO482</f>
        <v>1</v>
      </c>
      <c r="K366">
        <f>SmtRes!AE482</f>
        <v>1784</v>
      </c>
      <c r="L366">
        <f>SmtRes!DB482</f>
        <v>2551.12</v>
      </c>
      <c r="M366">
        <f>ROUND(ROUND(L366*Source!I490, 2)*1, 2)</f>
        <v>306.13</v>
      </c>
      <c r="N366">
        <f>SmtRes!AA482</f>
        <v>25314.959999999999</v>
      </c>
      <c r="O366">
        <f>ROUND(ROUND(L366*Source!I490, 2)*SmtRes!DA482, 2)</f>
        <v>4343.9799999999996</v>
      </c>
      <c r="P366">
        <f>SmtRes!AG482</f>
        <v>0</v>
      </c>
      <c r="Q366">
        <f>SmtRes!DC482</f>
        <v>0</v>
      </c>
      <c r="R366">
        <f>ROUND(ROUND(Q366*Source!I490, 2)*1, 2)</f>
        <v>0</v>
      </c>
      <c r="S366">
        <f>SmtRes!AC482</f>
        <v>0</v>
      </c>
      <c r="T366">
        <f>ROUND(ROUND(Q366*Source!I490, 2)*SmtRes!AK482, 2)</f>
        <v>0</v>
      </c>
      <c r="U366">
        <v>3</v>
      </c>
      <c r="Z366">
        <f>SmtRes!X482</f>
        <v>-649107084</v>
      </c>
      <c r="AA366">
        <v>-569272061</v>
      </c>
      <c r="AB366">
        <v>1293473728</v>
      </c>
    </row>
    <row r="367" spans="1:28" x14ac:dyDescent="0.2">
      <c r="A367">
        <v>20</v>
      </c>
      <c r="B367">
        <v>481</v>
      </c>
      <c r="C367">
        <v>3</v>
      </c>
      <c r="D367">
        <v>0</v>
      </c>
      <c r="E367">
        <f>SmtRes!AV481</f>
        <v>0</v>
      </c>
      <c r="F367" t="str">
        <f>SmtRes!I481</f>
        <v>102-0052</v>
      </c>
      <c r="G367" t="str">
        <f>SmtRes!K481</f>
        <v>Доски обрезные хвойных пород длиной 4-6,5 м, шириной 75-150 мм, толщиной 25 мм, II сорта</v>
      </c>
      <c r="H367" t="str">
        <f>SmtRes!O481</f>
        <v>м3</v>
      </c>
      <c r="I367">
        <f>SmtRes!Y481*Source!I490</f>
        <v>1.6800000000000002E-2</v>
      </c>
      <c r="J367">
        <f>SmtRes!AO481</f>
        <v>1</v>
      </c>
      <c r="K367">
        <f>SmtRes!AE481</f>
        <v>1150</v>
      </c>
      <c r="L367">
        <f>SmtRes!DB481</f>
        <v>161</v>
      </c>
      <c r="M367">
        <f>ROUND(ROUND(L367*Source!I490, 2)*1, 2)</f>
        <v>19.32</v>
      </c>
      <c r="N367">
        <f>SmtRes!AA481</f>
        <v>15352.5</v>
      </c>
      <c r="O367">
        <f>ROUND(ROUND(L367*Source!I490, 2)*SmtRes!DA481, 2)</f>
        <v>257.92</v>
      </c>
      <c r="P367">
        <f>SmtRes!AG481</f>
        <v>0</v>
      </c>
      <c r="Q367">
        <f>SmtRes!DC481</f>
        <v>0</v>
      </c>
      <c r="R367">
        <f>ROUND(ROUND(Q367*Source!I490, 2)*1, 2)</f>
        <v>0</v>
      </c>
      <c r="S367">
        <f>SmtRes!AC481</f>
        <v>0</v>
      </c>
      <c r="T367">
        <f>ROUND(ROUND(Q367*Source!I490, 2)*SmtRes!AK481, 2)</f>
        <v>0</v>
      </c>
      <c r="U367">
        <v>3</v>
      </c>
      <c r="Z367">
        <f>SmtRes!X481</f>
        <v>573909140</v>
      </c>
      <c r="AA367">
        <v>-1963831595</v>
      </c>
      <c r="AB367">
        <v>-1257962429</v>
      </c>
    </row>
    <row r="368" spans="1:28" x14ac:dyDescent="0.2">
      <c r="A368">
        <v>20</v>
      </c>
      <c r="B368">
        <v>480</v>
      </c>
      <c r="C368">
        <v>3</v>
      </c>
      <c r="D368">
        <v>0</v>
      </c>
      <c r="E368">
        <f>SmtRes!AV480</f>
        <v>0</v>
      </c>
      <c r="F368" t="str">
        <f>SmtRes!I480</f>
        <v>101-0851</v>
      </c>
      <c r="G368" t="str">
        <f>SmtRes!K480</f>
        <v>Пергамин кровельный марки П-350</v>
      </c>
      <c r="H368" t="str">
        <f>SmtRes!O480</f>
        <v>м2</v>
      </c>
      <c r="I368">
        <f>SmtRes!Y480*Source!I490</f>
        <v>12.6</v>
      </c>
      <c r="J368">
        <f>SmtRes!AO480</f>
        <v>1</v>
      </c>
      <c r="K368">
        <f>SmtRes!AE480</f>
        <v>3.25</v>
      </c>
      <c r="L368">
        <f>SmtRes!DB480</f>
        <v>341.25</v>
      </c>
      <c r="M368">
        <f>ROUND(ROUND(L368*Source!I490, 2)*1, 2)</f>
        <v>40.950000000000003</v>
      </c>
      <c r="N368">
        <f>SmtRes!AA480</f>
        <v>31.49</v>
      </c>
      <c r="O368">
        <f>ROUND(ROUND(L368*Source!I490, 2)*SmtRes!DA480, 2)</f>
        <v>396.81</v>
      </c>
      <c r="P368">
        <f>SmtRes!AG480</f>
        <v>0</v>
      </c>
      <c r="Q368">
        <f>SmtRes!DC480</f>
        <v>0</v>
      </c>
      <c r="R368">
        <f>ROUND(ROUND(Q368*Source!I490, 2)*1, 2)</f>
        <v>0</v>
      </c>
      <c r="S368">
        <f>SmtRes!AC480</f>
        <v>0</v>
      </c>
      <c r="T368">
        <f>ROUND(ROUND(Q368*Source!I490, 2)*SmtRes!AK480, 2)</f>
        <v>0</v>
      </c>
      <c r="U368">
        <v>3</v>
      </c>
      <c r="Z368">
        <f>SmtRes!X480</f>
        <v>1462903002</v>
      </c>
      <c r="AA368">
        <v>-1682237621</v>
      </c>
      <c r="AB368">
        <v>1670766506</v>
      </c>
    </row>
    <row r="369" spans="1:28" x14ac:dyDescent="0.2">
      <c r="A369">
        <v>20</v>
      </c>
      <c r="B369">
        <v>479</v>
      </c>
      <c r="C369">
        <v>3</v>
      </c>
      <c r="D369">
        <v>0</v>
      </c>
      <c r="E369">
        <f>SmtRes!AV479</f>
        <v>0</v>
      </c>
      <c r="F369" t="str">
        <f>SmtRes!I479</f>
        <v>101-0195</v>
      </c>
      <c r="G369" t="str">
        <f>SmtRes!K479</f>
        <v>Гвозди толевые круглые 3,0х40 мм</v>
      </c>
      <c r="H369" t="str">
        <f>SmtRes!O479</f>
        <v>т</v>
      </c>
      <c r="I369">
        <f>SmtRes!Y479*Source!I490</f>
        <v>2.6400000000000002E-4</v>
      </c>
      <c r="J369">
        <f>SmtRes!AO479</f>
        <v>1</v>
      </c>
      <c r="K369">
        <f>SmtRes!AE479</f>
        <v>9167</v>
      </c>
      <c r="L369">
        <f>SmtRes!DB479</f>
        <v>20.170000000000002</v>
      </c>
      <c r="M369">
        <f>ROUND(ROUND(L369*Source!I490, 2)*1, 2)</f>
        <v>2.42</v>
      </c>
      <c r="N369">
        <f>SmtRes!AA479</f>
        <v>196082.13</v>
      </c>
      <c r="O369">
        <f>ROUND(ROUND(L369*Source!I490, 2)*SmtRes!DA479, 2)</f>
        <v>51.76</v>
      </c>
      <c r="P369">
        <f>SmtRes!AG479</f>
        <v>0</v>
      </c>
      <c r="Q369">
        <f>SmtRes!DC479</f>
        <v>0</v>
      </c>
      <c r="R369">
        <f>ROUND(ROUND(Q369*Source!I490, 2)*1, 2)</f>
        <v>0</v>
      </c>
      <c r="S369">
        <f>SmtRes!AC479</f>
        <v>0</v>
      </c>
      <c r="T369">
        <f>ROUND(ROUND(Q369*Source!I490, 2)*SmtRes!AK479, 2)</f>
        <v>0</v>
      </c>
      <c r="U369">
        <v>3</v>
      </c>
      <c r="Z369">
        <f>SmtRes!X479</f>
        <v>-1999067301</v>
      </c>
      <c r="AA369">
        <v>-329546688</v>
      </c>
      <c r="AB369">
        <v>1355283455</v>
      </c>
    </row>
    <row r="370" spans="1:28" x14ac:dyDescent="0.2">
      <c r="A370">
        <v>20</v>
      </c>
      <c r="B370">
        <v>478</v>
      </c>
      <c r="C370">
        <v>3</v>
      </c>
      <c r="D370">
        <v>0</v>
      </c>
      <c r="E370">
        <f>SmtRes!AV478</f>
        <v>0</v>
      </c>
      <c r="F370" t="str">
        <f>SmtRes!I478</f>
        <v>101-0181</v>
      </c>
      <c r="G370" t="str">
        <f>SmtRes!K478</f>
        <v>Гвозди строительные с плоской головкой 1,8х60 мм</v>
      </c>
      <c r="H370" t="str">
        <f>SmtRes!O478</f>
        <v>т</v>
      </c>
      <c r="I370">
        <f>SmtRes!Y478*Source!I490</f>
        <v>8.7000000000000001E-4</v>
      </c>
      <c r="J370">
        <f>SmtRes!AO478</f>
        <v>1</v>
      </c>
      <c r="K370">
        <f>SmtRes!AE478</f>
        <v>9167</v>
      </c>
      <c r="L370">
        <f>SmtRes!DB478</f>
        <v>66.459999999999994</v>
      </c>
      <c r="M370">
        <f>ROUND(ROUND(L370*Source!I490, 2)*1, 2)</f>
        <v>7.98</v>
      </c>
      <c r="N370">
        <f>SmtRes!AA478</f>
        <v>76361.11</v>
      </c>
      <c r="O370">
        <f>ROUND(ROUND(L370*Source!I490, 2)*SmtRes!DA478, 2)</f>
        <v>66.47</v>
      </c>
      <c r="P370">
        <f>SmtRes!AG478</f>
        <v>0</v>
      </c>
      <c r="Q370">
        <f>SmtRes!DC478</f>
        <v>0</v>
      </c>
      <c r="R370">
        <f>ROUND(ROUND(Q370*Source!I490, 2)*1, 2)</f>
        <v>0</v>
      </c>
      <c r="S370">
        <f>SmtRes!AC478</f>
        <v>0</v>
      </c>
      <c r="T370">
        <f>ROUND(ROUND(Q370*Source!I490, 2)*SmtRes!AK478, 2)</f>
        <v>0</v>
      </c>
      <c r="U370">
        <v>3</v>
      </c>
      <c r="Z370">
        <f>SmtRes!X478</f>
        <v>-1097756755</v>
      </c>
      <c r="AA370">
        <v>-824582472</v>
      </c>
      <c r="AB370">
        <v>-1562284149</v>
      </c>
    </row>
    <row r="371" spans="1:28" x14ac:dyDescent="0.2">
      <c r="A371">
        <v>20</v>
      </c>
      <c r="B371">
        <v>477</v>
      </c>
      <c r="C371">
        <v>2</v>
      </c>
      <c r="D371">
        <v>0</v>
      </c>
      <c r="E371">
        <f>SmtRes!AV477</f>
        <v>0</v>
      </c>
      <c r="F371" t="str">
        <f>SmtRes!I477</f>
        <v>400001</v>
      </c>
      <c r="G371" t="str">
        <f>SmtRes!K477</f>
        <v>Автомобили бортовые, грузоподъемность до 5 т</v>
      </c>
      <c r="H371" t="str">
        <f>SmtRes!O477</f>
        <v>маш.-ч</v>
      </c>
      <c r="I371">
        <f>SmtRes!Y477*Source!I490</f>
        <v>6.720000000000001E-2</v>
      </c>
      <c r="J371">
        <f>SmtRes!AO477</f>
        <v>1</v>
      </c>
      <c r="K371">
        <f>SmtRes!AF477</f>
        <v>91.76</v>
      </c>
      <c r="L371">
        <f>SmtRes!DB477</f>
        <v>51.39</v>
      </c>
      <c r="M371">
        <f>ROUND(ROUND(L371*Source!I490, 2)*1, 2)</f>
        <v>6.17</v>
      </c>
      <c r="N371">
        <f>SmtRes!AB477</f>
        <v>1305.74</v>
      </c>
      <c r="O371">
        <f>ROUND(ROUND(L371*Source!I490, 2)*SmtRes!DA477, 2)</f>
        <v>87.8</v>
      </c>
      <c r="P371">
        <f>SmtRes!AG477</f>
        <v>10.35</v>
      </c>
      <c r="Q371">
        <f>SmtRes!DC477</f>
        <v>5.8</v>
      </c>
      <c r="R371">
        <f>ROUND(ROUND(Q371*Source!I490, 2)*1, 2)</f>
        <v>0.7</v>
      </c>
      <c r="S371">
        <f>SmtRes!AC477</f>
        <v>365.04</v>
      </c>
      <c r="T371">
        <f>ROUND(ROUND(Q371*Source!I490, 2)*SmtRes!AK477, 2)</f>
        <v>24.69</v>
      </c>
      <c r="U371">
        <v>2</v>
      </c>
      <c r="Z371">
        <f>SmtRes!X477</f>
        <v>-671646184</v>
      </c>
      <c r="AA371">
        <v>807713937</v>
      </c>
      <c r="AB371">
        <v>1619992053</v>
      </c>
    </row>
    <row r="372" spans="1:28" x14ac:dyDescent="0.2">
      <c r="A372">
        <v>20</v>
      </c>
      <c r="B372">
        <v>476</v>
      </c>
      <c r="C372">
        <v>2</v>
      </c>
      <c r="D372">
        <v>0</v>
      </c>
      <c r="E372">
        <f>SmtRes!AV476</f>
        <v>0</v>
      </c>
      <c r="F372" t="str">
        <f>SmtRes!I476</f>
        <v>331531</v>
      </c>
      <c r="G372" t="str">
        <f>SmtRes!K476</f>
        <v>Пила дисковая электрическая</v>
      </c>
      <c r="H372" t="str">
        <f>SmtRes!O476</f>
        <v>маш.-ч</v>
      </c>
      <c r="I372">
        <f>SmtRes!Y476*Source!I490</f>
        <v>4.3199999999999995E-2</v>
      </c>
      <c r="J372">
        <f>SmtRes!AO476</f>
        <v>1</v>
      </c>
      <c r="K372">
        <f>SmtRes!AF476</f>
        <v>0.96</v>
      </c>
      <c r="L372">
        <f>SmtRes!DB476</f>
        <v>0.35</v>
      </c>
      <c r="M372">
        <f>ROUND(ROUND(L372*Source!I490, 2)*1, 2)</f>
        <v>0.04</v>
      </c>
      <c r="N372">
        <f>SmtRes!AB476</f>
        <v>7.12</v>
      </c>
      <c r="O372">
        <f>ROUND(ROUND(L372*Source!I490, 2)*SmtRes!DA476, 2)</f>
        <v>0.3</v>
      </c>
      <c r="P372">
        <f>SmtRes!AG476</f>
        <v>0</v>
      </c>
      <c r="Q372">
        <f>SmtRes!DC476</f>
        <v>0</v>
      </c>
      <c r="R372">
        <f>ROUND(ROUND(Q372*Source!I490, 2)*1, 2)</f>
        <v>0</v>
      </c>
      <c r="S372">
        <f>SmtRes!AC476</f>
        <v>0</v>
      </c>
      <c r="T372">
        <f>ROUND(ROUND(Q372*Source!I490, 2)*SmtRes!AK476, 2)</f>
        <v>0</v>
      </c>
      <c r="U372">
        <v>2</v>
      </c>
      <c r="Z372">
        <f>SmtRes!X476</f>
        <v>-250660111</v>
      </c>
      <c r="AA372">
        <v>-439202265</v>
      </c>
      <c r="AB372">
        <v>458442870</v>
      </c>
    </row>
    <row r="373" spans="1:28" x14ac:dyDescent="0.2">
      <c r="A373">
        <v>20</v>
      </c>
      <c r="B373">
        <v>475</v>
      </c>
      <c r="C373">
        <v>1</v>
      </c>
      <c r="D373">
        <v>0</v>
      </c>
      <c r="E373">
        <f>SmtRes!AV475</f>
        <v>1</v>
      </c>
      <c r="F373" t="str">
        <f>SmtRes!I475</f>
        <v>1-1031-21</v>
      </c>
      <c r="G373" t="str">
        <f>SmtRes!K475</f>
        <v>Рабочий строитель среднего разряда 3,1</v>
      </c>
      <c r="H373" t="str">
        <f>SmtRes!O475</f>
        <v>чел.-ч</v>
      </c>
      <c r="I373">
        <f>SmtRes!Y475*Source!I490</f>
        <v>4.3559999999999999</v>
      </c>
      <c r="J373">
        <f>SmtRes!AO475</f>
        <v>1</v>
      </c>
      <c r="K373">
        <f>SmtRes!AH475</f>
        <v>8.07</v>
      </c>
      <c r="L373">
        <f>SmtRes!DB475</f>
        <v>292.94</v>
      </c>
      <c r="M373">
        <f>ROUND(ROUND(L373*Source!I490, 2)*1, 2)</f>
        <v>35.15</v>
      </c>
      <c r="N373">
        <f>SmtRes!AD475</f>
        <v>8.07</v>
      </c>
      <c r="O373">
        <f>ROUND(ROUND(L373*Source!I490, 2)*SmtRes!DA475, 2)</f>
        <v>35.15</v>
      </c>
      <c r="P373">
        <f>SmtRes!AG475</f>
        <v>0</v>
      </c>
      <c r="Q373">
        <f>SmtRes!DC475</f>
        <v>0</v>
      </c>
      <c r="R373">
        <f>ROUND(ROUND(Q373*Source!I490, 2)*1, 2)</f>
        <v>0</v>
      </c>
      <c r="S373">
        <f>SmtRes!AC475</f>
        <v>0</v>
      </c>
      <c r="T373">
        <f>ROUND(ROUND(Q373*Source!I490, 2)*SmtRes!AK475, 2)</f>
        <v>0</v>
      </c>
      <c r="U373">
        <v>1</v>
      </c>
      <c r="Z373">
        <f>SmtRes!X475</f>
        <v>859696649</v>
      </c>
      <c r="AA373">
        <v>-1322490060</v>
      </c>
      <c r="AB373">
        <v>2139178510</v>
      </c>
    </row>
    <row r="374" spans="1:28" x14ac:dyDescent="0.2">
      <c r="A374">
        <v>20</v>
      </c>
      <c r="B374">
        <v>491</v>
      </c>
      <c r="C374">
        <v>3</v>
      </c>
      <c r="D374">
        <v>0</v>
      </c>
      <c r="E374">
        <f>SmtRes!AV491</f>
        <v>0</v>
      </c>
      <c r="F374" t="str">
        <f>SmtRes!I491</f>
        <v>102-0060</v>
      </c>
      <c r="G374" t="str">
        <f>SmtRes!K491</f>
        <v>Доски обрезные хвойных пород длиной 4-6,5 м, шириной 75-150 мм, толщиной 44 мм и более, II сорта</v>
      </c>
      <c r="H374" t="str">
        <f>SmtRes!O491</f>
        <v>м3</v>
      </c>
      <c r="I374">
        <f>SmtRes!Y491*Source!I491</f>
        <v>4.0500000000000001E-2</v>
      </c>
      <c r="J374">
        <f>SmtRes!AO491</f>
        <v>1</v>
      </c>
      <c r="K374">
        <f>SmtRes!AE491</f>
        <v>1104</v>
      </c>
      <c r="L374">
        <f>SmtRes!DB491</f>
        <v>1987.2</v>
      </c>
      <c r="M374">
        <f>ROUND(ROUND(L374*Source!I491, 2)*1, 2)</f>
        <v>44.71</v>
      </c>
      <c r="N374">
        <f>SmtRes!AA491</f>
        <v>18569.28</v>
      </c>
      <c r="O374">
        <f>ROUND(ROUND(L374*Source!I491, 2)*SmtRes!DA491, 2)</f>
        <v>752.02</v>
      </c>
      <c r="P374">
        <f>SmtRes!AG491</f>
        <v>0</v>
      </c>
      <c r="Q374">
        <f>SmtRes!DC491</f>
        <v>0</v>
      </c>
      <c r="R374">
        <f>ROUND(ROUND(Q374*Source!I491, 2)*1, 2)</f>
        <v>0</v>
      </c>
      <c r="S374">
        <f>SmtRes!AC491</f>
        <v>0</v>
      </c>
      <c r="T374">
        <f>ROUND(ROUND(Q374*Source!I491, 2)*SmtRes!AK491, 2)</f>
        <v>0</v>
      </c>
      <c r="U374">
        <v>3</v>
      </c>
      <c r="Z374">
        <f>SmtRes!X491</f>
        <v>1656702119</v>
      </c>
      <c r="AA374">
        <v>41735050</v>
      </c>
      <c r="AB374">
        <v>1057774501</v>
      </c>
    </row>
    <row r="375" spans="1:28" x14ac:dyDescent="0.2">
      <c r="A375">
        <v>20</v>
      </c>
      <c r="B375">
        <v>490</v>
      </c>
      <c r="C375">
        <v>3</v>
      </c>
      <c r="D375">
        <v>0</v>
      </c>
      <c r="E375">
        <f>SmtRes!AV490</f>
        <v>0</v>
      </c>
      <c r="F375" t="str">
        <f>SmtRes!I490</f>
        <v>101-1875</v>
      </c>
      <c r="G375" t="str">
        <f>SmtRes!K490</f>
        <v>Сталь листовая оцинкованная толщиной листа 0,7 мм</v>
      </c>
      <c r="H375" t="str">
        <f>SmtRes!O490</f>
        <v>т</v>
      </c>
      <c r="I375">
        <f>SmtRes!Y490*Source!I491</f>
        <v>1.9574999999999999E-2</v>
      </c>
      <c r="J375">
        <f>SmtRes!AO490</f>
        <v>1</v>
      </c>
      <c r="K375">
        <f>SmtRes!AE490</f>
        <v>11200</v>
      </c>
      <c r="L375">
        <f>SmtRes!DB490</f>
        <v>9744</v>
      </c>
      <c r="M375">
        <f>ROUND(ROUND(L375*Source!I491, 2)*1, 2)</f>
        <v>219.24</v>
      </c>
      <c r="N375">
        <f>SmtRes!AA490</f>
        <v>104048</v>
      </c>
      <c r="O375">
        <f>ROUND(ROUND(L375*Source!I491, 2)*SmtRes!DA490, 2)</f>
        <v>2036.74</v>
      </c>
      <c r="P375">
        <f>SmtRes!AG490</f>
        <v>0</v>
      </c>
      <c r="Q375">
        <f>SmtRes!DC490</f>
        <v>0</v>
      </c>
      <c r="R375">
        <f>ROUND(ROUND(Q375*Source!I491, 2)*1, 2)</f>
        <v>0</v>
      </c>
      <c r="S375">
        <f>SmtRes!AC490</f>
        <v>0</v>
      </c>
      <c r="T375">
        <f>ROUND(ROUND(Q375*Source!I491, 2)*SmtRes!AK490, 2)</f>
        <v>0</v>
      </c>
      <c r="U375">
        <v>3</v>
      </c>
      <c r="Z375">
        <f>SmtRes!X490</f>
        <v>1559125146</v>
      </c>
      <c r="AA375">
        <v>451321402</v>
      </c>
      <c r="AB375">
        <v>59135389</v>
      </c>
    </row>
    <row r="376" spans="1:28" x14ac:dyDescent="0.2">
      <c r="A376">
        <v>20</v>
      </c>
      <c r="B376">
        <v>489</v>
      </c>
      <c r="C376">
        <v>3</v>
      </c>
      <c r="D376">
        <v>0</v>
      </c>
      <c r="E376">
        <f>SmtRes!AV489</f>
        <v>0</v>
      </c>
      <c r="F376" t="str">
        <f>SmtRes!I489</f>
        <v>101-0782</v>
      </c>
      <c r="G376" t="str">
        <f>SmtRes!K489</f>
        <v>Поковки из квадратных заготовок, масса 1,8 кг</v>
      </c>
      <c r="H376" t="str">
        <f>SmtRes!O489</f>
        <v>т</v>
      </c>
      <c r="I376">
        <f>SmtRes!Y489*Source!I491</f>
        <v>1.1699999999999998E-3</v>
      </c>
      <c r="J376">
        <f>SmtRes!AO489</f>
        <v>1</v>
      </c>
      <c r="K376">
        <f>SmtRes!AE489</f>
        <v>5989</v>
      </c>
      <c r="L376">
        <f>SmtRes!DB489</f>
        <v>311.43</v>
      </c>
      <c r="M376">
        <f>ROUND(ROUND(L376*Source!I491, 2)*1, 2)</f>
        <v>7.01</v>
      </c>
      <c r="N376">
        <f>SmtRes!AA489</f>
        <v>60069.67</v>
      </c>
      <c r="O376">
        <f>ROUND(ROUND(L376*Source!I491, 2)*SmtRes!DA489, 2)</f>
        <v>70.31</v>
      </c>
      <c r="P376">
        <f>SmtRes!AG489</f>
        <v>0</v>
      </c>
      <c r="Q376">
        <f>SmtRes!DC489</f>
        <v>0</v>
      </c>
      <c r="R376">
        <f>ROUND(ROUND(Q376*Source!I491, 2)*1, 2)</f>
        <v>0</v>
      </c>
      <c r="S376">
        <f>SmtRes!AC489</f>
        <v>0</v>
      </c>
      <c r="T376">
        <f>ROUND(ROUND(Q376*Source!I491, 2)*SmtRes!AK489, 2)</f>
        <v>0</v>
      </c>
      <c r="U376">
        <v>3</v>
      </c>
      <c r="Z376">
        <f>SmtRes!X489</f>
        <v>-2108161735</v>
      </c>
      <c r="AA376">
        <v>1183261512</v>
      </c>
      <c r="AB376">
        <v>1769814261</v>
      </c>
    </row>
    <row r="377" spans="1:28" x14ac:dyDescent="0.2">
      <c r="A377">
        <v>20</v>
      </c>
      <c r="B377">
        <v>488</v>
      </c>
      <c r="C377">
        <v>3</v>
      </c>
      <c r="D377">
        <v>0</v>
      </c>
      <c r="E377">
        <f>SmtRes!AV488</f>
        <v>0</v>
      </c>
      <c r="F377" t="str">
        <f>SmtRes!I488</f>
        <v>101-0195</v>
      </c>
      <c r="G377" t="str">
        <f>SmtRes!K488</f>
        <v>Гвозди толевые круглые 3,0х40 мм</v>
      </c>
      <c r="H377" t="str">
        <f>SmtRes!O488</f>
        <v>т</v>
      </c>
      <c r="I377">
        <f>SmtRes!Y488*Source!I491</f>
        <v>1.5975000000000001E-4</v>
      </c>
      <c r="J377">
        <f>SmtRes!AO488</f>
        <v>1</v>
      </c>
      <c r="K377">
        <f>SmtRes!AE488</f>
        <v>9167</v>
      </c>
      <c r="L377">
        <f>SmtRes!DB488</f>
        <v>65.09</v>
      </c>
      <c r="M377">
        <f>ROUND(ROUND(L377*Source!I491, 2)*1, 2)</f>
        <v>1.46</v>
      </c>
      <c r="N377">
        <f>SmtRes!AA488</f>
        <v>196082.13</v>
      </c>
      <c r="O377">
        <f>ROUND(ROUND(L377*Source!I491, 2)*SmtRes!DA488, 2)</f>
        <v>31.23</v>
      </c>
      <c r="P377">
        <f>SmtRes!AG488</f>
        <v>0</v>
      </c>
      <c r="Q377">
        <f>SmtRes!DC488</f>
        <v>0</v>
      </c>
      <c r="R377">
        <f>ROUND(ROUND(Q377*Source!I491, 2)*1, 2)</f>
        <v>0</v>
      </c>
      <c r="S377">
        <f>SmtRes!AC488</f>
        <v>0</v>
      </c>
      <c r="T377">
        <f>ROUND(ROUND(Q377*Source!I491, 2)*SmtRes!AK488, 2)</f>
        <v>0</v>
      </c>
      <c r="U377">
        <v>3</v>
      </c>
      <c r="Z377">
        <f>SmtRes!X488</f>
        <v>-1999067301</v>
      </c>
      <c r="AA377">
        <v>-329546688</v>
      </c>
      <c r="AB377">
        <v>1355283455</v>
      </c>
    </row>
    <row r="378" spans="1:28" x14ac:dyDescent="0.2">
      <c r="A378">
        <v>20</v>
      </c>
      <c r="B378">
        <v>487</v>
      </c>
      <c r="C378">
        <v>2</v>
      </c>
      <c r="D378">
        <v>0</v>
      </c>
      <c r="E378">
        <f>SmtRes!AV487</f>
        <v>0</v>
      </c>
      <c r="F378" t="str">
        <f>SmtRes!I487</f>
        <v>400001</v>
      </c>
      <c r="G378" t="str">
        <f>SmtRes!K487</f>
        <v>Автомобили бортовые, грузоподъемность до 5 т</v>
      </c>
      <c r="H378" t="str">
        <f>SmtRes!O487</f>
        <v>маш.-ч</v>
      </c>
      <c r="I378">
        <f>SmtRes!Y487*Source!I491</f>
        <v>2.9250000000000001E-3</v>
      </c>
      <c r="J378">
        <f>SmtRes!AO487</f>
        <v>1</v>
      </c>
      <c r="K378">
        <f>SmtRes!AF487</f>
        <v>91.76</v>
      </c>
      <c r="L378">
        <f>SmtRes!DB487</f>
        <v>11.93</v>
      </c>
      <c r="M378">
        <f>ROUND(ROUND(L378*Source!I491, 2)*1, 2)</f>
        <v>0.27</v>
      </c>
      <c r="N378">
        <f>SmtRes!AB487</f>
        <v>1305.74</v>
      </c>
      <c r="O378">
        <f>ROUND(ROUND(L378*Source!I491, 2)*SmtRes!DA487, 2)</f>
        <v>3.84</v>
      </c>
      <c r="P378">
        <f>SmtRes!AG487</f>
        <v>10.35</v>
      </c>
      <c r="Q378">
        <f>SmtRes!DC487</f>
        <v>1.35</v>
      </c>
      <c r="R378">
        <f>ROUND(ROUND(Q378*Source!I491, 2)*1, 2)</f>
        <v>0.03</v>
      </c>
      <c r="S378">
        <f>SmtRes!AC487</f>
        <v>365.04</v>
      </c>
      <c r="T378">
        <f>ROUND(ROUND(Q378*Source!I491, 2)*SmtRes!AK487, 2)</f>
        <v>1.06</v>
      </c>
      <c r="U378">
        <v>2</v>
      </c>
      <c r="Z378">
        <f>SmtRes!X487</f>
        <v>-671646184</v>
      </c>
      <c r="AA378">
        <v>807713937</v>
      </c>
      <c r="AB378">
        <v>1619992053</v>
      </c>
    </row>
    <row r="379" spans="1:28" x14ac:dyDescent="0.2">
      <c r="A379">
        <v>20</v>
      </c>
      <c r="B379">
        <v>486</v>
      </c>
      <c r="C379">
        <v>2</v>
      </c>
      <c r="D379">
        <v>0</v>
      </c>
      <c r="E379">
        <f>SmtRes!AV486</f>
        <v>0</v>
      </c>
      <c r="F379" t="str">
        <f>SmtRes!I486</f>
        <v>021141</v>
      </c>
      <c r="G379" t="str">
        <f>SmtRes!K486</f>
        <v>Краны на автомобильном ходу при работе на других видах строительства 10 т</v>
      </c>
      <c r="H379" t="str">
        <f>SmtRes!O486</f>
        <v>маш.-ч</v>
      </c>
      <c r="I379">
        <f>SmtRes!Y486*Source!I491</f>
        <v>1.8E-3</v>
      </c>
      <c r="J379">
        <f>SmtRes!AO486</f>
        <v>1</v>
      </c>
      <c r="K379">
        <f>SmtRes!AF486</f>
        <v>124.14</v>
      </c>
      <c r="L379">
        <f>SmtRes!DB486</f>
        <v>9.93</v>
      </c>
      <c r="M379">
        <f>ROUND(ROUND(L379*Source!I491, 2)*1, 2)</f>
        <v>0.22</v>
      </c>
      <c r="N379">
        <f>SmtRes!AB486</f>
        <v>1453.68</v>
      </c>
      <c r="O379">
        <f>ROUND(ROUND(L379*Source!I491, 2)*SmtRes!DA486, 2)</f>
        <v>2.58</v>
      </c>
      <c r="P379">
        <f>SmtRes!AG486</f>
        <v>12.1</v>
      </c>
      <c r="Q379">
        <f>SmtRes!DC486</f>
        <v>0.97</v>
      </c>
      <c r="R379">
        <f>ROUND(ROUND(Q379*Source!I491, 2)*1, 2)</f>
        <v>0.02</v>
      </c>
      <c r="S379">
        <f>SmtRes!AC486</f>
        <v>426.77</v>
      </c>
      <c r="T379">
        <f>ROUND(ROUND(Q379*Source!I491, 2)*SmtRes!AK486, 2)</f>
        <v>0.71</v>
      </c>
      <c r="U379">
        <v>2</v>
      </c>
      <c r="Z379">
        <f>SmtRes!X486</f>
        <v>1447433125</v>
      </c>
      <c r="AA379">
        <v>1854632627</v>
      </c>
      <c r="AB379">
        <v>887395808</v>
      </c>
    </row>
    <row r="380" spans="1:28" x14ac:dyDescent="0.2">
      <c r="A380">
        <v>20</v>
      </c>
      <c r="B380">
        <v>485</v>
      </c>
      <c r="C380">
        <v>2</v>
      </c>
      <c r="D380">
        <v>0</v>
      </c>
      <c r="E380">
        <f>SmtRes!AV485</f>
        <v>0</v>
      </c>
      <c r="F380" t="str">
        <f>SmtRes!I485</f>
        <v>020129</v>
      </c>
      <c r="G380" t="str">
        <f>SmtRes!K485</f>
        <v>Краны башенные при работе на других видах строительства 8 т</v>
      </c>
      <c r="H380" t="str">
        <f>SmtRes!O485</f>
        <v>маш.-ч</v>
      </c>
      <c r="I380">
        <f>SmtRes!Y485*Source!I491</f>
        <v>9.4500000000000001E-3</v>
      </c>
      <c r="J380">
        <f>SmtRes!AO485</f>
        <v>1</v>
      </c>
      <c r="K380">
        <f>SmtRes!AF485</f>
        <v>103.49</v>
      </c>
      <c r="L380">
        <f>SmtRes!DB485</f>
        <v>43.47</v>
      </c>
      <c r="M380">
        <f>ROUND(ROUND(L380*Source!I491, 2)*1, 2)</f>
        <v>0.98</v>
      </c>
      <c r="N380">
        <f>SmtRes!AB485</f>
        <v>1247.05</v>
      </c>
      <c r="O380">
        <f>ROUND(ROUND(L380*Source!I491, 2)*SmtRes!DA485, 2)</f>
        <v>11.81</v>
      </c>
      <c r="P380">
        <f>SmtRes!AG485</f>
        <v>12.1</v>
      </c>
      <c r="Q380">
        <f>SmtRes!DC485</f>
        <v>5.08</v>
      </c>
      <c r="R380">
        <f>ROUND(ROUND(Q380*Source!I491, 2)*1, 2)</f>
        <v>0.11</v>
      </c>
      <c r="S380">
        <f>SmtRes!AC485</f>
        <v>426.77</v>
      </c>
      <c r="T380">
        <f>ROUND(ROUND(Q380*Source!I491, 2)*SmtRes!AK485, 2)</f>
        <v>3.88</v>
      </c>
      <c r="U380">
        <v>2</v>
      </c>
      <c r="Z380">
        <f>SmtRes!X485</f>
        <v>1604115853</v>
      </c>
      <c r="AA380">
        <v>36607545</v>
      </c>
      <c r="AB380">
        <v>925327548</v>
      </c>
    </row>
    <row r="381" spans="1:28" x14ac:dyDescent="0.2">
      <c r="A381">
        <v>20</v>
      </c>
      <c r="B381">
        <v>483</v>
      </c>
      <c r="C381">
        <v>1</v>
      </c>
      <c r="D381">
        <v>0</v>
      </c>
      <c r="E381">
        <f>SmtRes!AV483</f>
        <v>1</v>
      </c>
      <c r="F381" t="str">
        <f>SmtRes!I483</f>
        <v>1-1035-21</v>
      </c>
      <c r="G381" t="str">
        <f>SmtRes!K483</f>
        <v>Рабочий строитель среднего разряда 3,5</v>
      </c>
      <c r="H381" t="str">
        <f>SmtRes!O483</f>
        <v>чел.-ч</v>
      </c>
      <c r="I381">
        <f>SmtRes!Y483*Source!I491</f>
        <v>2.0441249999999997</v>
      </c>
      <c r="J381">
        <f>SmtRes!AO483</f>
        <v>1</v>
      </c>
      <c r="K381">
        <f>SmtRes!AH483</f>
        <v>8.48</v>
      </c>
      <c r="L381">
        <f>SmtRes!DB483</f>
        <v>770.41</v>
      </c>
      <c r="M381">
        <f>ROUND(ROUND(L381*Source!I491, 2)*1, 2)</f>
        <v>17.329999999999998</v>
      </c>
      <c r="N381">
        <f>SmtRes!AD483</f>
        <v>8.48</v>
      </c>
      <c r="O381">
        <f>ROUND(ROUND(L381*Source!I491, 2)*SmtRes!DA483, 2)</f>
        <v>17.329999999999998</v>
      </c>
      <c r="P381">
        <f>SmtRes!AG483</f>
        <v>0</v>
      </c>
      <c r="Q381">
        <f>SmtRes!DC483</f>
        <v>0</v>
      </c>
      <c r="R381">
        <f>ROUND(ROUND(Q381*Source!I491, 2)*1, 2)</f>
        <v>0</v>
      </c>
      <c r="S381">
        <f>SmtRes!AC483</f>
        <v>0</v>
      </c>
      <c r="T381">
        <f>ROUND(ROUND(Q381*Source!I491, 2)*SmtRes!AK483, 2)</f>
        <v>0</v>
      </c>
      <c r="U381">
        <v>1</v>
      </c>
      <c r="Z381">
        <f>SmtRes!X483</f>
        <v>2002501603</v>
      </c>
      <c r="AA381">
        <v>1980744066</v>
      </c>
      <c r="AB381">
        <v>-1857114646</v>
      </c>
    </row>
    <row r="382" spans="1:28" x14ac:dyDescent="0.2">
      <c r="A382">
        <v>20</v>
      </c>
      <c r="B382">
        <v>495</v>
      </c>
      <c r="C382">
        <v>3</v>
      </c>
      <c r="D382">
        <v>0</v>
      </c>
      <c r="E382">
        <f>SmtRes!AV495</f>
        <v>0</v>
      </c>
      <c r="F382" t="str">
        <f>SmtRes!I495</f>
        <v>101-0954</v>
      </c>
      <c r="G382" t="str">
        <f>SmtRes!K495</f>
        <v>Прибор фрамужный с вертикальной тягой стальной, покрытый белой эмалью</v>
      </c>
      <c r="H382" t="str">
        <f>SmtRes!O495</f>
        <v>компл.</v>
      </c>
      <c r="I382">
        <f>SmtRes!Y495*Source!I492</f>
        <v>2</v>
      </c>
      <c r="J382">
        <f>SmtRes!AO495</f>
        <v>1</v>
      </c>
      <c r="K382">
        <f>SmtRes!AE495</f>
        <v>27</v>
      </c>
      <c r="L382">
        <f>SmtRes!DB495</f>
        <v>2700</v>
      </c>
      <c r="M382">
        <f>ROUND(ROUND(L382*Source!I492, 2)*1, 2)</f>
        <v>54</v>
      </c>
      <c r="N382">
        <f>SmtRes!AA495</f>
        <v>239.49</v>
      </c>
      <c r="O382">
        <f>ROUND(ROUND(L382*Source!I492, 2)*SmtRes!DA495, 2)</f>
        <v>478.98</v>
      </c>
      <c r="P382">
        <f>SmtRes!AG495</f>
        <v>0</v>
      </c>
      <c r="Q382">
        <f>SmtRes!DC495</f>
        <v>0</v>
      </c>
      <c r="R382">
        <f>ROUND(ROUND(Q382*Source!I492, 2)*1, 2)</f>
        <v>0</v>
      </c>
      <c r="S382">
        <f>SmtRes!AC495</f>
        <v>0</v>
      </c>
      <c r="T382">
        <f>ROUND(ROUND(Q382*Source!I492, 2)*SmtRes!AK495, 2)</f>
        <v>0</v>
      </c>
      <c r="U382">
        <v>3</v>
      </c>
      <c r="Z382">
        <f>SmtRes!X495</f>
        <v>694243324</v>
      </c>
      <c r="AA382">
        <v>994547051</v>
      </c>
      <c r="AB382">
        <v>211784805</v>
      </c>
    </row>
    <row r="383" spans="1:28" x14ac:dyDescent="0.2">
      <c r="A383">
        <v>20</v>
      </c>
      <c r="B383">
        <v>494</v>
      </c>
      <c r="C383">
        <v>2</v>
      </c>
      <c r="D383">
        <v>0</v>
      </c>
      <c r="E383">
        <f>SmtRes!AV494</f>
        <v>0</v>
      </c>
      <c r="F383" t="str">
        <f>SmtRes!I494</f>
        <v>400001</v>
      </c>
      <c r="G383" t="str">
        <f>SmtRes!K494</f>
        <v>Автомобили бортовые, грузоподъемность до 5 т</v>
      </c>
      <c r="H383" t="str">
        <f>SmtRes!O494</f>
        <v>маш.-ч</v>
      </c>
      <c r="I383">
        <f>SmtRes!Y494*Source!I492</f>
        <v>1E-3</v>
      </c>
      <c r="J383">
        <f>SmtRes!AO494</f>
        <v>1</v>
      </c>
      <c r="K383">
        <f>SmtRes!AF494</f>
        <v>91.76</v>
      </c>
      <c r="L383">
        <f>SmtRes!DB494</f>
        <v>4.59</v>
      </c>
      <c r="M383">
        <f>ROUND(ROUND(L383*Source!I492, 2)*1, 2)</f>
        <v>0.09</v>
      </c>
      <c r="N383">
        <f>SmtRes!AB494</f>
        <v>1305.74</v>
      </c>
      <c r="O383">
        <f>ROUND(ROUND(L383*Source!I492, 2)*SmtRes!DA494, 2)</f>
        <v>1.28</v>
      </c>
      <c r="P383">
        <f>SmtRes!AG494</f>
        <v>10.35</v>
      </c>
      <c r="Q383">
        <f>SmtRes!DC494</f>
        <v>0.52</v>
      </c>
      <c r="R383">
        <f>ROUND(ROUND(Q383*Source!I492, 2)*1, 2)</f>
        <v>0.01</v>
      </c>
      <c r="S383">
        <f>SmtRes!AC494</f>
        <v>365.04</v>
      </c>
      <c r="T383">
        <f>ROUND(ROUND(Q383*Source!I492, 2)*SmtRes!AK494, 2)</f>
        <v>0.35</v>
      </c>
      <c r="U383">
        <v>2</v>
      </c>
      <c r="Z383">
        <f>SmtRes!X494</f>
        <v>-671646184</v>
      </c>
      <c r="AA383">
        <v>807713937</v>
      </c>
      <c r="AB383">
        <v>1619992053</v>
      </c>
    </row>
    <row r="384" spans="1:28" x14ac:dyDescent="0.2">
      <c r="A384">
        <v>20</v>
      </c>
      <c r="B384">
        <v>493</v>
      </c>
      <c r="C384">
        <v>2</v>
      </c>
      <c r="D384">
        <v>0</v>
      </c>
      <c r="E384">
        <f>SmtRes!AV493</f>
        <v>0</v>
      </c>
      <c r="F384" t="str">
        <f>SmtRes!I493</f>
        <v>134041</v>
      </c>
      <c r="G384" t="str">
        <f>SmtRes!K493</f>
        <v>Шуруповерт</v>
      </c>
      <c r="H384" t="str">
        <f>SmtRes!O493</f>
        <v>маш.-ч</v>
      </c>
      <c r="I384">
        <f>SmtRes!Y493*Source!I492</f>
        <v>9.6000000000000002E-2</v>
      </c>
      <c r="J384">
        <f>SmtRes!AO493</f>
        <v>1</v>
      </c>
      <c r="K384">
        <f>SmtRes!AF493</f>
        <v>1.98</v>
      </c>
      <c r="L384">
        <f>SmtRes!DB493</f>
        <v>9.5</v>
      </c>
      <c r="M384">
        <f>ROUND(ROUND(L384*Source!I492, 2)*1, 2)</f>
        <v>0.19</v>
      </c>
      <c r="N384">
        <f>SmtRes!AB493</f>
        <v>21.44</v>
      </c>
      <c r="O384">
        <f>ROUND(ROUND(L384*Source!I492, 2)*SmtRes!DA493, 2)</f>
        <v>2.06</v>
      </c>
      <c r="P384">
        <f>SmtRes!AG493</f>
        <v>0</v>
      </c>
      <c r="Q384">
        <f>SmtRes!DC493</f>
        <v>0</v>
      </c>
      <c r="R384">
        <f>ROUND(ROUND(Q384*Source!I492, 2)*1, 2)</f>
        <v>0</v>
      </c>
      <c r="S384">
        <f>SmtRes!AC493</f>
        <v>0</v>
      </c>
      <c r="T384">
        <f>ROUND(ROUND(Q384*Source!I492, 2)*SmtRes!AK493, 2)</f>
        <v>0</v>
      </c>
      <c r="U384">
        <v>2</v>
      </c>
      <c r="Z384">
        <f>SmtRes!X493</f>
        <v>325281995</v>
      </c>
      <c r="AA384">
        <v>-395078739</v>
      </c>
      <c r="AB384">
        <v>-544898908</v>
      </c>
    </row>
    <row r="385" spans="1:28" x14ac:dyDescent="0.2">
      <c r="A385">
        <v>20</v>
      </c>
      <c r="B385">
        <v>492</v>
      </c>
      <c r="C385">
        <v>1</v>
      </c>
      <c r="D385">
        <v>0</v>
      </c>
      <c r="E385">
        <f>SmtRes!AV492</f>
        <v>1</v>
      </c>
      <c r="F385" t="str">
        <f>SmtRes!I492</f>
        <v>1-1050-21</v>
      </c>
      <c r="G385" t="str">
        <f>SmtRes!K492</f>
        <v>Рабочий строитель среднего разряда 5</v>
      </c>
      <c r="H385" t="str">
        <f>SmtRes!O492</f>
        <v>чел.-ч</v>
      </c>
      <c r="I385">
        <f>SmtRes!Y492*Source!I492</f>
        <v>1.506</v>
      </c>
      <c r="J385">
        <f>SmtRes!AO492</f>
        <v>1</v>
      </c>
      <c r="K385">
        <f>SmtRes!AH492</f>
        <v>10.36</v>
      </c>
      <c r="L385">
        <f>SmtRes!DB492</f>
        <v>780.11</v>
      </c>
      <c r="M385">
        <f>ROUND(ROUND(L385*Source!I492, 2)*1, 2)</f>
        <v>15.6</v>
      </c>
      <c r="N385">
        <f>SmtRes!AD492</f>
        <v>10.36</v>
      </c>
      <c r="O385">
        <f>ROUND(ROUND(L385*Source!I492, 2)*SmtRes!DA492, 2)</f>
        <v>15.6</v>
      </c>
      <c r="P385">
        <f>SmtRes!AG492</f>
        <v>0</v>
      </c>
      <c r="Q385">
        <f>SmtRes!DC492</f>
        <v>0</v>
      </c>
      <c r="R385">
        <f>ROUND(ROUND(Q385*Source!I492, 2)*1, 2)</f>
        <v>0</v>
      </c>
      <c r="S385">
        <f>SmtRes!AC492</f>
        <v>0</v>
      </c>
      <c r="T385">
        <f>ROUND(ROUND(Q385*Source!I492, 2)*SmtRes!AK492, 2)</f>
        <v>0</v>
      </c>
      <c r="U385">
        <v>1</v>
      </c>
      <c r="Z385">
        <f>SmtRes!X492</f>
        <v>725539904</v>
      </c>
      <c r="AA385">
        <v>-1788900012</v>
      </c>
      <c r="AB385">
        <v>20453442</v>
      </c>
    </row>
    <row r="386" spans="1:28" x14ac:dyDescent="0.2">
      <c r="A386">
        <v>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BCF9-7786-4586-9840-D86D9CDE82FC}">
  <sheetPr>
    <pageSetUpPr fitToPage="1"/>
  </sheetPr>
  <dimension ref="A2:AL343"/>
  <sheetViews>
    <sheetView workbookViewId="0"/>
  </sheetViews>
  <sheetFormatPr defaultRowHeight="12.75" x14ac:dyDescent="0.2"/>
  <cols>
    <col min="1" max="1" width="18.7109375" customWidth="1"/>
    <col min="2" max="2" width="40.7109375" customWidth="1"/>
    <col min="3" max="8" width="12.7109375" customWidth="1"/>
    <col min="36" max="36" width="71.140625" hidden="1" customWidth="1"/>
    <col min="37" max="39" width="0" hidden="1" customWidth="1"/>
  </cols>
  <sheetData>
    <row r="2" spans="1:38" ht="16.5" x14ac:dyDescent="0.2">
      <c r="A2" s="24" t="s">
        <v>1263</v>
      </c>
      <c r="B2" s="25"/>
      <c r="C2" s="25"/>
      <c r="D2" s="25"/>
      <c r="E2" s="25"/>
      <c r="F2" s="25"/>
      <c r="G2" s="25"/>
      <c r="H2" s="25"/>
    </row>
    <row r="3" spans="1:38" ht="33" x14ac:dyDescent="0.2">
      <c r="A3" s="24" t="str">
        <f>CONCATENATE("Объект: ",IF(Source!G563&lt;&gt;"Новый объект", Source!G563, ""))</f>
        <v>Объект: Благоустройство кладбища в д. Нижнее Николаевское</v>
      </c>
      <c r="B3" s="25"/>
      <c r="C3" s="25"/>
      <c r="D3" s="25"/>
      <c r="E3" s="25"/>
      <c r="F3" s="25"/>
      <c r="G3" s="25"/>
      <c r="H3" s="25"/>
      <c r="AJ3" s="26" t="s">
        <v>1264</v>
      </c>
    </row>
    <row r="4" spans="1:38" x14ac:dyDescent="0.2">
      <c r="A4" s="27" t="s">
        <v>1265</v>
      </c>
      <c r="B4" s="27" t="s">
        <v>1266</v>
      </c>
      <c r="C4" s="27" t="s">
        <v>1267</v>
      </c>
      <c r="D4" s="27" t="s">
        <v>1268</v>
      </c>
      <c r="E4" s="30" t="s">
        <v>1269</v>
      </c>
      <c r="F4" s="31"/>
      <c r="G4" s="30" t="s">
        <v>1272</v>
      </c>
      <c r="H4" s="31"/>
    </row>
    <row r="5" spans="1:38" x14ac:dyDescent="0.2">
      <c r="A5" s="28"/>
      <c r="B5" s="28"/>
      <c r="C5" s="28"/>
      <c r="D5" s="28"/>
      <c r="E5" s="32"/>
      <c r="F5" s="33"/>
      <c r="G5" s="32"/>
      <c r="H5" s="33"/>
    </row>
    <row r="6" spans="1:38" ht="28.5" x14ac:dyDescent="0.2">
      <c r="A6" s="29"/>
      <c r="B6" s="29"/>
      <c r="C6" s="29"/>
      <c r="D6" s="29"/>
      <c r="E6" s="15" t="s">
        <v>1270</v>
      </c>
      <c r="F6" s="15" t="s">
        <v>1271</v>
      </c>
      <c r="G6" s="15" t="s">
        <v>1270</v>
      </c>
      <c r="H6" s="15" t="s">
        <v>1271</v>
      </c>
    </row>
    <row r="7" spans="1:38" ht="14.25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38" ht="16.5" x14ac:dyDescent="0.2">
      <c r="A8" s="24" t="str">
        <f>CONCATENATE("Локальная смета: ",IF(Source!G22&lt;&gt;"Новая локальная смета", Source!G22, ""))</f>
        <v xml:space="preserve">Локальная смета: </v>
      </c>
      <c r="B8" s="25"/>
      <c r="C8" s="25"/>
      <c r="D8" s="25"/>
      <c r="E8" s="25"/>
      <c r="F8" s="25"/>
      <c r="G8" s="25"/>
      <c r="H8" s="25"/>
    </row>
    <row r="9" spans="1:38" ht="16.5" x14ac:dyDescent="0.2">
      <c r="A9" s="24" t="str">
        <f>CONCATENATE("Раздел: ",IF(Source!G26&lt;&gt;"Новый раздел", Source!G26, ""))</f>
        <v>Раздел: Подготовительные работы</v>
      </c>
      <c r="B9" s="25"/>
      <c r="C9" s="25"/>
      <c r="D9" s="25"/>
      <c r="E9" s="25"/>
      <c r="F9" s="25"/>
      <c r="G9" s="25"/>
      <c r="H9" s="25"/>
    </row>
    <row r="10" spans="1:38" ht="14.25" x14ac:dyDescent="0.2">
      <c r="A10" s="34" t="s">
        <v>1273</v>
      </c>
      <c r="B10" s="35"/>
      <c r="C10" s="35"/>
      <c r="D10" s="35"/>
      <c r="E10" s="35"/>
      <c r="F10" s="35"/>
      <c r="G10" s="35"/>
      <c r="H10" s="35"/>
    </row>
    <row r="11" spans="1:38" ht="14.25" x14ac:dyDescent="0.2">
      <c r="A11" s="36" t="s">
        <v>701</v>
      </c>
      <c r="B11" s="37" t="s">
        <v>702</v>
      </c>
      <c r="C11" s="37" t="s">
        <v>696</v>
      </c>
      <c r="D11" s="38">
        <f>ROUND(SUMIF(RV_DATA!AB8:AB25, -1697901350, RV_DATA!I8:I25), 6)</f>
        <v>8.1999999999999993</v>
      </c>
      <c r="E11" s="39">
        <f>ROUND(RV_DATA!K10, 2)</f>
        <v>7.29</v>
      </c>
      <c r="F11" s="39">
        <f>ROUND(SUMIF(RV_DATA!AB8:AB25, -1697901350, RV_DATA!M8:M25), 6)</f>
        <v>59.78</v>
      </c>
      <c r="G11" s="39">
        <f>ROUND(RV_DATA!N10, 2)</f>
        <v>7.29</v>
      </c>
      <c r="H11" s="39">
        <f>ROUND(SUMIF(RV_DATA!AB8:AB25, -1697901350, RV_DATA!O8:O25), 6)</f>
        <v>59.78</v>
      </c>
      <c r="AL11">
        <v>1</v>
      </c>
    </row>
    <row r="12" spans="1:38" ht="28.5" x14ac:dyDescent="0.2">
      <c r="A12" s="36" t="s">
        <v>755</v>
      </c>
      <c r="B12" s="37" t="s">
        <v>756</v>
      </c>
      <c r="C12" s="37" t="s">
        <v>696</v>
      </c>
      <c r="D12" s="38">
        <f>ROUND(SUMIF(RV_DATA!AB8:AB25, -138908479, RV_DATA!I8:I25), 6)</f>
        <v>36.634500000000003</v>
      </c>
      <c r="E12" s="39">
        <f>ROUND(RV_DATA!K25, 2)</f>
        <v>7.43</v>
      </c>
      <c r="F12" s="39">
        <f>ROUND(SUMIF(RV_DATA!AB8:AB25, -138908479, RV_DATA!M8:M25), 6)</f>
        <v>272.19</v>
      </c>
      <c r="G12" s="39">
        <f>ROUND(RV_DATA!N25, 2)</f>
        <v>7.43</v>
      </c>
      <c r="H12" s="39">
        <f>ROUND(SUMIF(RV_DATA!AB8:AB25, -138908479, RV_DATA!O8:O25), 6)</f>
        <v>272.19</v>
      </c>
      <c r="AL12">
        <v>1</v>
      </c>
    </row>
    <row r="13" spans="1:38" ht="14.25" x14ac:dyDescent="0.2">
      <c r="A13" s="36" t="s">
        <v>703</v>
      </c>
      <c r="B13" s="37" t="s">
        <v>704</v>
      </c>
      <c r="C13" s="37" t="s">
        <v>696</v>
      </c>
      <c r="D13" s="38">
        <f>ROUND(SUMIF(RV_DATA!AB8:AB25, 1494462434, RV_DATA!I8:I25), 6)</f>
        <v>87.531840000000003</v>
      </c>
      <c r="E13" s="39">
        <f>ROUND(RV_DATA!K14, 2)</f>
        <v>7.97</v>
      </c>
      <c r="F13" s="39">
        <f>ROUND(SUMIF(RV_DATA!AB8:AB25, 1494462434, RV_DATA!M8:M25), 6)</f>
        <v>697.63</v>
      </c>
      <c r="G13" s="39">
        <f>ROUND(RV_DATA!N14, 2)</f>
        <v>7.97</v>
      </c>
      <c r="H13" s="39">
        <f>ROUND(SUMIF(RV_DATA!AB8:AB25, 1494462434, RV_DATA!O8:O25), 6)</f>
        <v>697.63</v>
      </c>
      <c r="AL13">
        <v>1</v>
      </c>
    </row>
    <row r="14" spans="1:38" ht="28.5" x14ac:dyDescent="0.2">
      <c r="A14" s="36" t="s">
        <v>719</v>
      </c>
      <c r="B14" s="37" t="s">
        <v>720</v>
      </c>
      <c r="C14" s="37" t="s">
        <v>696</v>
      </c>
      <c r="D14" s="38">
        <f>ROUND(SUMIF(RV_DATA!AB8:AB25, -777700544, RV_DATA!I8:I25), 6)</f>
        <v>820.51112499999999</v>
      </c>
      <c r="E14" s="39">
        <f>ROUND(RV_DATA!K19, 2)</f>
        <v>8.68</v>
      </c>
      <c r="F14" s="39">
        <f>ROUND(SUMIF(RV_DATA!AB8:AB25, -777700544, RV_DATA!M8:M25), 6)</f>
        <v>7122.06</v>
      </c>
      <c r="G14" s="39">
        <f>ROUND(RV_DATA!N19, 2)</f>
        <v>8.68</v>
      </c>
      <c r="H14" s="39">
        <f>ROUND(SUMIF(RV_DATA!AB8:AB25, -777700544, RV_DATA!O8:O25), 6)</f>
        <v>7122.06</v>
      </c>
      <c r="AL14">
        <v>1</v>
      </c>
    </row>
    <row r="15" spans="1:38" ht="28.5" x14ac:dyDescent="0.2">
      <c r="A15" s="36" t="s">
        <v>694</v>
      </c>
      <c r="B15" s="37" t="s">
        <v>695</v>
      </c>
      <c r="C15" s="37" t="s">
        <v>696</v>
      </c>
      <c r="D15" s="38">
        <f>ROUND(SUMIF(RV_DATA!AB8:AB25, -340170861, RV_DATA!I8:I25), 6)</f>
        <v>1.042</v>
      </c>
      <c r="E15" s="39">
        <f>ROUND(RV_DATA!K9, 2)</f>
        <v>8.7899999999999991</v>
      </c>
      <c r="F15" s="39">
        <f>ROUND(SUMIF(RV_DATA!AB8:AB25, -340170861, RV_DATA!M8:M25), 6)</f>
        <v>9.16</v>
      </c>
      <c r="G15" s="39">
        <f>ROUND(RV_DATA!N9, 2)</f>
        <v>8.7899999999999991</v>
      </c>
      <c r="H15" s="39">
        <f>ROUND(SUMIF(RV_DATA!AB8:AB25, -340170861, RV_DATA!O8:O25), 6)</f>
        <v>9.16</v>
      </c>
      <c r="AL15">
        <v>1</v>
      </c>
    </row>
    <row r="16" spans="1:38" ht="15" x14ac:dyDescent="0.25">
      <c r="A16" s="40" t="s">
        <v>1274</v>
      </c>
      <c r="B16" s="40"/>
      <c r="C16" s="40"/>
      <c r="D16" s="40"/>
      <c r="E16" s="41">
        <f>SUMIF(AL11:AL15, 1, F11:F15)</f>
        <v>8160.82</v>
      </c>
      <c r="F16" s="41"/>
      <c r="G16" s="41">
        <f>SUMIF(AL11:AL15, 1, H11:H15)</f>
        <v>8160.82</v>
      </c>
      <c r="H16" s="40"/>
    </row>
    <row r="17" spans="1:38" ht="14.25" x14ac:dyDescent="0.2">
      <c r="A17" s="34" t="s">
        <v>1275</v>
      </c>
      <c r="B17" s="35"/>
      <c r="C17" s="35"/>
      <c r="D17" s="35"/>
      <c r="E17" s="35"/>
      <c r="F17" s="35"/>
      <c r="G17" s="35"/>
      <c r="H17" s="35"/>
    </row>
    <row r="18" spans="1:38" ht="42.75" x14ac:dyDescent="0.2">
      <c r="A18" s="36" t="s">
        <v>721</v>
      </c>
      <c r="B18" s="37" t="s">
        <v>723</v>
      </c>
      <c r="C18" s="37" t="s">
        <v>700</v>
      </c>
      <c r="D18" s="38">
        <f>ROUND(SUMIF(RV_DATA!AB8:AB25, 887395808, RV_DATA!I8:I25), 6)</f>
        <v>87.039330000000007</v>
      </c>
      <c r="E18" s="39">
        <f>ROUND(RV_DATA!K18, 2)</f>
        <v>124.14</v>
      </c>
      <c r="F18" s="39">
        <f>ROUND(SUMIF(RV_DATA!AB8:AB25, 887395808, RV_DATA!M8:M25), 6)</f>
        <v>10805.07</v>
      </c>
      <c r="G18" s="39">
        <f>ROUND(RV_DATA!N18, 2)</f>
        <v>1453.68</v>
      </c>
      <c r="H18" s="39">
        <f>ROUND(SUMIF(RV_DATA!AB8:AB25, 887395808, RV_DATA!O8:O25), 6)</f>
        <v>126527.37</v>
      </c>
      <c r="AL18">
        <v>2</v>
      </c>
    </row>
    <row r="19" spans="1:38" ht="42.75" x14ac:dyDescent="0.2">
      <c r="A19" s="36" t="s">
        <v>724</v>
      </c>
      <c r="B19" s="37" t="s">
        <v>726</v>
      </c>
      <c r="C19" s="37" t="s">
        <v>700</v>
      </c>
      <c r="D19" s="38">
        <f>ROUND(SUMIF(RV_DATA!AB8:AB25, 244196429, RV_DATA!I8:I25), 6)</f>
        <v>29.723365000000001</v>
      </c>
      <c r="E19" s="39">
        <f>ROUND(RV_DATA!K17, 2)</f>
        <v>20.350000000000001</v>
      </c>
      <c r="F19" s="39">
        <f>ROUND(SUMIF(RV_DATA!AB8:AB25, 244196429, RV_DATA!M8:M25), 6)</f>
        <v>604.85</v>
      </c>
      <c r="G19" s="39">
        <f>ROUND(RV_DATA!N17, 2)</f>
        <v>179.49</v>
      </c>
      <c r="H19" s="39">
        <f>ROUND(SUMIF(RV_DATA!AB8:AB25, 244196429, RV_DATA!O8:O25), 6)</f>
        <v>5334.78</v>
      </c>
      <c r="AL19">
        <v>2</v>
      </c>
    </row>
    <row r="20" spans="1:38" ht="57" x14ac:dyDescent="0.2">
      <c r="A20" s="36" t="s">
        <v>757</v>
      </c>
      <c r="B20" s="37" t="s">
        <v>759</v>
      </c>
      <c r="C20" s="37" t="s">
        <v>700</v>
      </c>
      <c r="D20" s="38">
        <f>ROUND(SUMIF(RV_DATA!AB8:AB25, -540860609, RV_DATA!I8:I25), 6)</f>
        <v>0.252</v>
      </c>
      <c r="E20" s="39">
        <f>ROUND(RV_DATA!K23, 2)</f>
        <v>59.38</v>
      </c>
      <c r="F20" s="39">
        <f>ROUND(SUMIF(RV_DATA!AB8:AB25, -540860609, RV_DATA!M8:M25), 6)</f>
        <v>14.96</v>
      </c>
      <c r="G20" s="39">
        <f>ROUND(RV_DATA!N23, 2)</f>
        <v>893.67</v>
      </c>
      <c r="H20" s="39">
        <f>ROUND(SUMIF(RV_DATA!AB8:AB25, -540860609, RV_DATA!O8:O25), 6)</f>
        <v>225.15</v>
      </c>
      <c r="AL20">
        <v>2</v>
      </c>
    </row>
    <row r="21" spans="1:38" ht="57" x14ac:dyDescent="0.2">
      <c r="A21" s="36" t="s">
        <v>760</v>
      </c>
      <c r="B21" s="37" t="s">
        <v>762</v>
      </c>
      <c r="C21" s="37" t="s">
        <v>700</v>
      </c>
      <c r="D21" s="38">
        <f>ROUND(SUMIF(RV_DATA!AB8:AB25, -603506768, RV_DATA!I8:I25), 6)</f>
        <v>6.3E-2</v>
      </c>
      <c r="E21" s="39">
        <f>ROUND(RV_DATA!K22, 2)</f>
        <v>136.79</v>
      </c>
      <c r="F21" s="39">
        <f>ROUND(SUMIF(RV_DATA!AB8:AB25, -603506768, RV_DATA!M8:M25), 6)</f>
        <v>8.6300000000000008</v>
      </c>
      <c r="G21" s="39">
        <f>ROUND(RV_DATA!N22, 2)</f>
        <v>1838.46</v>
      </c>
      <c r="H21" s="39">
        <f>ROUND(SUMIF(RV_DATA!AB8:AB25, -603506768, RV_DATA!O8:O25), 6)</f>
        <v>115.99</v>
      </c>
      <c r="AL21">
        <v>2</v>
      </c>
    </row>
    <row r="22" spans="1:38" ht="28.5" x14ac:dyDescent="0.2">
      <c r="A22" s="36" t="s">
        <v>763</v>
      </c>
      <c r="B22" s="37" t="s">
        <v>765</v>
      </c>
      <c r="C22" s="37" t="s">
        <v>700</v>
      </c>
      <c r="D22" s="38">
        <f>ROUND(SUMIF(RV_DATA!AB8:AB25, 836497942, RV_DATA!I8:I25), 6)</f>
        <v>6.3E-2</v>
      </c>
      <c r="E22" s="39">
        <f>ROUND(RV_DATA!K21, 2)</f>
        <v>102.49</v>
      </c>
      <c r="F22" s="39">
        <f>ROUND(SUMIF(RV_DATA!AB8:AB25, 836497942, RV_DATA!M8:M25), 6)</f>
        <v>6.46</v>
      </c>
      <c r="G22" s="39">
        <f>ROUND(RV_DATA!N21, 2)</f>
        <v>1506.6</v>
      </c>
      <c r="H22" s="39">
        <f>ROUND(SUMIF(RV_DATA!AB8:AB25, 836497942, RV_DATA!O8:O25), 6)</f>
        <v>94.96</v>
      </c>
      <c r="AL22">
        <v>2</v>
      </c>
    </row>
    <row r="23" spans="1:38" ht="14.25" x14ac:dyDescent="0.2">
      <c r="A23" s="36" t="s">
        <v>727</v>
      </c>
      <c r="B23" s="37" t="s">
        <v>729</v>
      </c>
      <c r="C23" s="37" t="s">
        <v>700</v>
      </c>
      <c r="D23" s="38">
        <f>ROUND(SUMIF(RV_DATA!AB8:AB25, 895163219, RV_DATA!I8:I25), 6)</f>
        <v>1.7205999999999999</v>
      </c>
      <c r="E23" s="39">
        <f>ROUND(RV_DATA!K16, 2)</f>
        <v>8.0299999999999994</v>
      </c>
      <c r="F23" s="39">
        <f>ROUND(SUMIF(RV_DATA!AB8:AB25, 895163219, RV_DATA!M8:M25), 6)</f>
        <v>13.83</v>
      </c>
      <c r="G23" s="39">
        <f>ROUND(RV_DATA!N16, 2)</f>
        <v>42.24</v>
      </c>
      <c r="H23" s="39">
        <f>ROUND(SUMIF(RV_DATA!AB8:AB25, 895163219, RV_DATA!O8:O25), 6)</f>
        <v>72.75</v>
      </c>
      <c r="AL23">
        <v>2</v>
      </c>
    </row>
    <row r="24" spans="1:38" ht="14.25" x14ac:dyDescent="0.2">
      <c r="A24" s="36" t="s">
        <v>707</v>
      </c>
      <c r="B24" s="37" t="s">
        <v>709</v>
      </c>
      <c r="C24" s="37" t="s">
        <v>700</v>
      </c>
      <c r="D24" s="38">
        <f>ROUND(SUMIF(RV_DATA!AB8:AB25, -1047769044, RV_DATA!I8:I25), 6)</f>
        <v>26.37744</v>
      </c>
      <c r="E24" s="39">
        <f>ROUND(RV_DATA!K13, 2)</f>
        <v>189</v>
      </c>
      <c r="F24" s="39">
        <f>ROUND(SUMIF(RV_DATA!AB8:AB25, -1047769044, RV_DATA!M8:M25), 6)</f>
        <v>4985.34</v>
      </c>
      <c r="G24" s="39">
        <f>ROUND(RV_DATA!N13, 2)</f>
        <v>1532.79</v>
      </c>
      <c r="H24" s="39">
        <f>ROUND(SUMIF(RV_DATA!AB8:AB25, -1047769044, RV_DATA!O8:O25), 6)</f>
        <v>40431.11</v>
      </c>
      <c r="AL24">
        <v>2</v>
      </c>
    </row>
    <row r="25" spans="1:38" ht="28.5" x14ac:dyDescent="0.2">
      <c r="A25" s="36" t="s">
        <v>710</v>
      </c>
      <c r="B25" s="37" t="s">
        <v>712</v>
      </c>
      <c r="C25" s="37" t="s">
        <v>700</v>
      </c>
      <c r="D25" s="38">
        <f>ROUND(SUMIF(RV_DATA!AB8:AB25, -2144793753, RV_DATA!I8:I25), 6)</f>
        <v>26.844080000000002</v>
      </c>
      <c r="E25" s="39">
        <f>ROUND(RV_DATA!K12, 2)</f>
        <v>123.86</v>
      </c>
      <c r="F25" s="39">
        <f>ROUND(SUMIF(RV_DATA!AB8:AB25, -2144793753, RV_DATA!M8:M25), 6)</f>
        <v>3324.9</v>
      </c>
      <c r="G25" s="39">
        <f>ROUND(RV_DATA!N12, 2)</f>
        <v>2147.73</v>
      </c>
      <c r="H25" s="39">
        <f>ROUND(SUMIF(RV_DATA!AB8:AB25, -2144793753, RV_DATA!O8:O25), 6)</f>
        <v>57653.77</v>
      </c>
      <c r="AL25">
        <v>2</v>
      </c>
    </row>
    <row r="26" spans="1:38" ht="42.75" x14ac:dyDescent="0.2">
      <c r="A26" s="36" t="s">
        <v>766</v>
      </c>
      <c r="B26" s="37" t="s">
        <v>768</v>
      </c>
      <c r="C26" s="37" t="s">
        <v>700</v>
      </c>
      <c r="D26" s="38">
        <f>ROUND(SUMIF(RV_DATA!AB8:AB25, 677645588, RV_DATA!I8:I25), 6)</f>
        <v>1.008</v>
      </c>
      <c r="E26" s="39">
        <f>ROUND(RV_DATA!K20, 2)</f>
        <v>1.69</v>
      </c>
      <c r="F26" s="39">
        <f>ROUND(SUMIF(RV_DATA!AB8:AB25, 677645588, RV_DATA!M8:M25), 6)</f>
        <v>1.7</v>
      </c>
      <c r="G26" s="39">
        <f>ROUND(RV_DATA!N20, 2)</f>
        <v>8.8699999999999992</v>
      </c>
      <c r="H26" s="39">
        <f>ROUND(SUMIF(RV_DATA!AB8:AB25, 677645588, RV_DATA!O8:O25), 6)</f>
        <v>8.93</v>
      </c>
      <c r="AL26">
        <v>2</v>
      </c>
    </row>
    <row r="27" spans="1:38" ht="14.25" x14ac:dyDescent="0.2">
      <c r="A27" s="36" t="s">
        <v>697</v>
      </c>
      <c r="B27" s="37" t="s">
        <v>699</v>
      </c>
      <c r="C27" s="37" t="s">
        <v>700</v>
      </c>
      <c r="D27" s="38">
        <f>ROUND(SUMIF(RV_DATA!AB8:AB25, 803684306, RV_DATA!I8:I25), 6)</f>
        <v>0.34799999999999998</v>
      </c>
      <c r="E27" s="39">
        <f>ROUND(RV_DATA!K8, 2)</f>
        <v>5.63</v>
      </c>
      <c r="F27" s="39">
        <f>ROUND(SUMIF(RV_DATA!AB8:AB25, 803684306, RV_DATA!M8:M25), 6)</f>
        <v>1.96</v>
      </c>
      <c r="G27" s="39">
        <f>ROUND(RV_DATA!N8, 2)</f>
        <v>36.200000000000003</v>
      </c>
      <c r="H27" s="39">
        <f>ROUND(SUMIF(RV_DATA!AB8:AB25, 803684306, RV_DATA!O8:O25), 6)</f>
        <v>12.6</v>
      </c>
      <c r="AL27">
        <v>2</v>
      </c>
    </row>
    <row r="28" spans="1:38" ht="28.5" x14ac:dyDescent="0.2">
      <c r="A28" s="36" t="s">
        <v>713</v>
      </c>
      <c r="B28" s="37" t="s">
        <v>715</v>
      </c>
      <c r="C28" s="37" t="s">
        <v>700</v>
      </c>
      <c r="D28" s="38">
        <f>ROUND(SUMIF(RV_DATA!AB8:AB25, 1619992053, RV_DATA!I8:I25), 6)</f>
        <v>3.7099600000000001</v>
      </c>
      <c r="E28" s="39">
        <f>ROUND(RV_DATA!K11, 2)</f>
        <v>91.76</v>
      </c>
      <c r="F28" s="39">
        <f>ROUND(SUMIF(RV_DATA!AB8:AB25, 1619992053, RV_DATA!M8:M25), 6)</f>
        <v>340.41</v>
      </c>
      <c r="G28" s="39">
        <f>ROUND(RV_DATA!N11, 2)</f>
        <v>1305.74</v>
      </c>
      <c r="H28" s="39">
        <f>ROUND(SUMIF(RV_DATA!AB8:AB25, 1619992053, RV_DATA!O8:O25), 6)</f>
        <v>4844.03</v>
      </c>
      <c r="AL28">
        <v>2</v>
      </c>
    </row>
    <row r="29" spans="1:38" ht="15" x14ac:dyDescent="0.25">
      <c r="A29" s="40" t="s">
        <v>1276</v>
      </c>
      <c r="B29" s="40"/>
      <c r="C29" s="40"/>
      <c r="D29" s="40"/>
      <c r="E29" s="41">
        <f>SUMIF(AL18:AL28, 2, F18:F28)</f>
        <v>20108.11</v>
      </c>
      <c r="F29" s="41"/>
      <c r="G29" s="41">
        <f>SUMIF(AL18:AL28, 2, H18:H28)</f>
        <v>235321.43999999997</v>
      </c>
      <c r="H29" s="40"/>
    </row>
    <row r="30" spans="1:38" ht="16.5" x14ac:dyDescent="0.2">
      <c r="A30" s="24" t="str">
        <f>CONCATENATE("Раздел: ",IF(Source!G78&lt;&gt;"Новый раздел", Source!G78, ""))</f>
        <v>Раздел: Ограждение территории</v>
      </c>
      <c r="B30" s="25"/>
      <c r="C30" s="25"/>
      <c r="D30" s="25"/>
      <c r="E30" s="25"/>
      <c r="F30" s="25"/>
      <c r="G30" s="25"/>
      <c r="H30" s="25"/>
    </row>
    <row r="31" spans="1:38" ht="14.25" x14ac:dyDescent="0.2">
      <c r="A31" s="34" t="s">
        <v>1273</v>
      </c>
      <c r="B31" s="35"/>
      <c r="C31" s="35"/>
      <c r="D31" s="35"/>
      <c r="E31" s="35"/>
      <c r="F31" s="35"/>
      <c r="G31" s="35"/>
      <c r="H31" s="35"/>
    </row>
    <row r="32" spans="1:38" ht="28.5" x14ac:dyDescent="0.2">
      <c r="A32" s="36" t="s">
        <v>719</v>
      </c>
      <c r="B32" s="37" t="s">
        <v>720</v>
      </c>
      <c r="C32" s="37" t="s">
        <v>696</v>
      </c>
      <c r="D32" s="38">
        <f>ROUND(SUMIF(RV_DATA!AB27:AB39, -777700544, RV_DATA!I27:I39), 6)</f>
        <v>1366.0261499999999</v>
      </c>
      <c r="E32" s="39">
        <f>ROUND(RV_DATA!K39, 2)</f>
        <v>8.68</v>
      </c>
      <c r="F32" s="39">
        <f>ROUND(SUMIF(RV_DATA!AB27:AB39, -777700544, RV_DATA!M27:M39), 6)</f>
        <v>11857.1</v>
      </c>
      <c r="G32" s="39">
        <f>ROUND(RV_DATA!N39, 2)</f>
        <v>8.68</v>
      </c>
      <c r="H32" s="39">
        <f>ROUND(SUMIF(RV_DATA!AB27:AB39, -777700544, RV_DATA!O27:O39), 6)</f>
        <v>11857.1</v>
      </c>
      <c r="AL32">
        <v>1</v>
      </c>
    </row>
    <row r="33" spans="1:38" ht="15" x14ac:dyDescent="0.25">
      <c r="A33" s="40" t="s">
        <v>1274</v>
      </c>
      <c r="B33" s="40"/>
      <c r="C33" s="40"/>
      <c r="D33" s="40"/>
      <c r="E33" s="41">
        <f>SUMIF(AL32:AL32, 1, F32:F32)</f>
        <v>11857.1</v>
      </c>
      <c r="F33" s="41"/>
      <c r="G33" s="41">
        <f>SUMIF(AL32:AL32, 1, H32:H32)</f>
        <v>11857.1</v>
      </c>
      <c r="H33" s="40"/>
    </row>
    <row r="34" spans="1:38" ht="14.25" x14ac:dyDescent="0.2">
      <c r="A34" s="34" t="s">
        <v>1275</v>
      </c>
      <c r="B34" s="35"/>
      <c r="C34" s="35"/>
      <c r="D34" s="35"/>
      <c r="E34" s="35"/>
      <c r="F34" s="35"/>
      <c r="G34" s="35"/>
      <c r="H34" s="35"/>
    </row>
    <row r="35" spans="1:38" ht="42.75" x14ac:dyDescent="0.2">
      <c r="A35" s="36" t="s">
        <v>721</v>
      </c>
      <c r="B35" s="37" t="s">
        <v>723</v>
      </c>
      <c r="C35" s="37" t="s">
        <v>700</v>
      </c>
      <c r="D35" s="38">
        <f>ROUND(SUMIF(RV_DATA!AB27:AB39, 887395808, RV_DATA!I27:I39), 6)</f>
        <v>126.94459999999999</v>
      </c>
      <c r="E35" s="39">
        <f>ROUND(RV_DATA!K38, 2)</f>
        <v>124.14</v>
      </c>
      <c r="F35" s="39">
        <f>ROUND(SUMIF(RV_DATA!AB27:AB39, 887395808, RV_DATA!M27:M39), 6)</f>
        <v>15758.9</v>
      </c>
      <c r="G35" s="39">
        <f>ROUND(RV_DATA!N38, 2)</f>
        <v>1453.68</v>
      </c>
      <c r="H35" s="39">
        <f>ROUND(SUMIF(RV_DATA!AB27:AB39, 887395808, RV_DATA!O27:O39), 6)</f>
        <v>184536.72</v>
      </c>
      <c r="AL35">
        <v>2</v>
      </c>
    </row>
    <row r="36" spans="1:38" ht="42.75" x14ac:dyDescent="0.2">
      <c r="A36" s="36" t="s">
        <v>724</v>
      </c>
      <c r="B36" s="37" t="s">
        <v>726</v>
      </c>
      <c r="C36" s="37" t="s">
        <v>700</v>
      </c>
      <c r="D36" s="38">
        <f>ROUND(SUMIF(RV_DATA!AB27:AB39, 244196429, RV_DATA!I27:I39), 6)</f>
        <v>43.083849999999998</v>
      </c>
      <c r="E36" s="39">
        <f>ROUND(RV_DATA!K37, 2)</f>
        <v>20.350000000000001</v>
      </c>
      <c r="F36" s="39">
        <f>ROUND(SUMIF(RV_DATA!AB27:AB39, 244196429, RV_DATA!M27:M39), 6)</f>
        <v>876.77</v>
      </c>
      <c r="G36" s="39">
        <f>ROUND(RV_DATA!N37, 2)</f>
        <v>179.49</v>
      </c>
      <c r="H36" s="39">
        <f>ROUND(SUMIF(RV_DATA!AB27:AB39, 244196429, RV_DATA!O27:O39), 6)</f>
        <v>7733.11</v>
      </c>
      <c r="AL36">
        <v>2</v>
      </c>
    </row>
    <row r="37" spans="1:38" ht="14.25" x14ac:dyDescent="0.2">
      <c r="A37" s="36" t="s">
        <v>727</v>
      </c>
      <c r="B37" s="37" t="s">
        <v>729</v>
      </c>
      <c r="C37" s="37" t="s">
        <v>700</v>
      </c>
      <c r="D37" s="38">
        <f>ROUND(SUMIF(RV_DATA!AB27:AB39, 895163219, RV_DATA!I27:I39), 6)</f>
        <v>2.4940000000000002</v>
      </c>
      <c r="E37" s="39">
        <f>ROUND(RV_DATA!K36, 2)</f>
        <v>8.0299999999999994</v>
      </c>
      <c r="F37" s="39">
        <f>ROUND(SUMIF(RV_DATA!AB27:AB39, 895163219, RV_DATA!M27:M39), 6)</f>
        <v>20.010000000000002</v>
      </c>
      <c r="G37" s="39">
        <f>ROUND(RV_DATA!N36, 2)</f>
        <v>42.24</v>
      </c>
      <c r="H37" s="39">
        <f>ROUND(SUMIF(RV_DATA!AB27:AB39, 895163219, RV_DATA!O27:O39), 6)</f>
        <v>105.25</v>
      </c>
      <c r="AL37">
        <v>2</v>
      </c>
    </row>
    <row r="38" spans="1:38" ht="28.5" x14ac:dyDescent="0.2">
      <c r="A38" s="36" t="s">
        <v>713</v>
      </c>
      <c r="B38" s="37" t="s">
        <v>715</v>
      </c>
      <c r="C38" s="37" t="s">
        <v>700</v>
      </c>
      <c r="D38" s="38">
        <f>ROUND(SUMIF(RV_DATA!AB27:AB39, 1619992053, RV_DATA!I27:I39), 6)</f>
        <v>3.8656999999999999</v>
      </c>
      <c r="E38" s="39">
        <f>ROUND(RV_DATA!K35, 2)</f>
        <v>91.76</v>
      </c>
      <c r="F38" s="39">
        <f>ROUND(SUMIF(RV_DATA!AB27:AB39, 1619992053, RV_DATA!M27:M39), 6)</f>
        <v>354.71</v>
      </c>
      <c r="G38" s="39">
        <f>ROUND(RV_DATA!N35, 2)</f>
        <v>1305.74</v>
      </c>
      <c r="H38" s="39">
        <f>ROUND(SUMIF(RV_DATA!AB27:AB39, 1619992053, RV_DATA!O27:O39), 6)</f>
        <v>5047.5200000000004</v>
      </c>
      <c r="AL38">
        <v>2</v>
      </c>
    </row>
    <row r="39" spans="1:38" ht="15" x14ac:dyDescent="0.25">
      <c r="A39" s="40" t="s">
        <v>1276</v>
      </c>
      <c r="B39" s="40"/>
      <c r="C39" s="40"/>
      <c r="D39" s="40"/>
      <c r="E39" s="41">
        <f>SUMIF(AL35:AL38, 2, F35:F38)</f>
        <v>17010.389999999996</v>
      </c>
      <c r="F39" s="41"/>
      <c r="G39" s="41">
        <f>SUMIF(AL35:AL38, 2, H35:H38)</f>
        <v>197422.59999999998</v>
      </c>
      <c r="H39" s="40"/>
    </row>
    <row r="40" spans="1:38" ht="14.25" x14ac:dyDescent="0.2">
      <c r="A40" s="34" t="s">
        <v>1277</v>
      </c>
      <c r="B40" s="35"/>
      <c r="C40" s="35"/>
      <c r="D40" s="35"/>
      <c r="E40" s="35"/>
      <c r="F40" s="35"/>
      <c r="G40" s="35"/>
      <c r="H40" s="35"/>
    </row>
    <row r="41" spans="1:38" ht="14.25" x14ac:dyDescent="0.2">
      <c r="A41" s="36" t="s">
        <v>730</v>
      </c>
      <c r="B41" s="37" t="s">
        <v>732</v>
      </c>
      <c r="C41" s="37" t="s">
        <v>170</v>
      </c>
      <c r="D41" s="38">
        <f>ROUND(SUMIF(RV_DATA!AB27:AB39, -1962895299, RV_DATA!I27:I39), 6)</f>
        <v>6.2350000000000001E-3</v>
      </c>
      <c r="E41" s="39">
        <f>ROUND(RV_DATA!K34, 2)</f>
        <v>10200</v>
      </c>
      <c r="F41" s="39">
        <f>ROUND(SUMIF(RV_DATA!AB27:AB39, -1962895299, RV_DATA!M27:M39), 6)</f>
        <v>63.6</v>
      </c>
      <c r="G41" s="39">
        <f>ROUND(RV_DATA!N34, 2)</f>
        <v>76806</v>
      </c>
      <c r="H41" s="39">
        <f>ROUND(SUMIF(RV_DATA!AB27:AB39, -1962895299, RV_DATA!O27:O39), 6)</f>
        <v>478.91</v>
      </c>
      <c r="AL41">
        <v>3</v>
      </c>
    </row>
    <row r="42" spans="1:38" ht="28.5" x14ac:dyDescent="0.2">
      <c r="A42" s="36" t="s">
        <v>733</v>
      </c>
      <c r="B42" s="37" t="s">
        <v>735</v>
      </c>
      <c r="C42" s="37" t="s">
        <v>201</v>
      </c>
      <c r="D42" s="38">
        <f>ROUND(SUMIF(RV_DATA!AB27:AB39, 412474880, RV_DATA!I27:I39), 6)</f>
        <v>935.25</v>
      </c>
      <c r="E42" s="39">
        <f>ROUND(RV_DATA!K33, 2)</f>
        <v>18.87</v>
      </c>
      <c r="F42" s="39">
        <f>ROUND(SUMIF(RV_DATA!AB27:AB39, 412474880, RV_DATA!M27:M39), 6)</f>
        <v>17648.169999999998</v>
      </c>
      <c r="G42" s="39">
        <f>ROUND(RV_DATA!N33, 2)</f>
        <v>189.27</v>
      </c>
      <c r="H42" s="39">
        <f>ROUND(SUMIF(RV_DATA!AB27:AB39, 412474880, RV_DATA!O27:O39), 6)</f>
        <v>177011.15</v>
      </c>
      <c r="AL42">
        <v>3</v>
      </c>
    </row>
    <row r="43" spans="1:38" ht="14.25" x14ac:dyDescent="0.2">
      <c r="A43" s="36" t="s">
        <v>736</v>
      </c>
      <c r="B43" s="37" t="s">
        <v>738</v>
      </c>
      <c r="C43" s="37" t="s">
        <v>170</v>
      </c>
      <c r="D43" s="38">
        <f>ROUND(SUMIF(RV_DATA!AB27:AB39, -131512131, RV_DATA!I27:I39), 6)</f>
        <v>3.7409999999999999E-2</v>
      </c>
      <c r="E43" s="39">
        <f>ROUND(RV_DATA!K32, 2)</f>
        <v>9424</v>
      </c>
      <c r="F43" s="39">
        <f>ROUND(SUMIF(RV_DATA!AB27:AB39, -131512131, RV_DATA!M27:M39), 6)</f>
        <v>352.53</v>
      </c>
      <c r="G43" s="39">
        <f>ROUND(RV_DATA!N32, 2)</f>
        <v>148428</v>
      </c>
      <c r="H43" s="39">
        <f>ROUND(SUMIF(RV_DATA!AB27:AB39, -131512131, RV_DATA!O27:O39), 6)</f>
        <v>5552.35</v>
      </c>
      <c r="AL43">
        <v>3</v>
      </c>
    </row>
    <row r="44" spans="1:38" ht="85.5" x14ac:dyDescent="0.2">
      <c r="A44" s="36" t="s">
        <v>739</v>
      </c>
      <c r="B44" s="37" t="s">
        <v>741</v>
      </c>
      <c r="C44" s="37" t="s">
        <v>170</v>
      </c>
      <c r="D44" s="38">
        <f>ROUND(SUMIF(RV_DATA!AB27:AB39, -619475752, RV_DATA!I27:I39), 6)</f>
        <v>1.247E-2</v>
      </c>
      <c r="E44" s="39">
        <f>ROUND(RV_DATA!K31, 2)</f>
        <v>10045</v>
      </c>
      <c r="F44" s="39">
        <f>ROUND(SUMIF(RV_DATA!AB27:AB39, -619475752, RV_DATA!M27:M39), 6)</f>
        <v>125.26</v>
      </c>
      <c r="G44" s="39">
        <f>ROUND(RV_DATA!N31, 2)</f>
        <v>119234.15</v>
      </c>
      <c r="H44" s="39">
        <f>ROUND(SUMIF(RV_DATA!AB27:AB39, -619475752, RV_DATA!O27:O39), 6)</f>
        <v>1486.84</v>
      </c>
      <c r="AL44">
        <v>3</v>
      </c>
    </row>
    <row r="45" spans="1:38" ht="28.5" x14ac:dyDescent="0.2">
      <c r="A45" s="36" t="s">
        <v>742</v>
      </c>
      <c r="B45" s="37" t="s">
        <v>744</v>
      </c>
      <c r="C45" s="37" t="s">
        <v>170</v>
      </c>
      <c r="D45" s="38">
        <f>ROUND(SUMIF(RV_DATA!AB27:AB39, -255407920, RV_DATA!I27:I39), 6)</f>
        <v>0.94772000000000001</v>
      </c>
      <c r="E45" s="39">
        <f>ROUND(RV_DATA!K30, 2)</f>
        <v>6260.66</v>
      </c>
      <c r="F45" s="39">
        <f>ROUND(SUMIF(RV_DATA!AB27:AB39, -255407920, RV_DATA!M27:M39), 6)</f>
        <v>5933.35</v>
      </c>
      <c r="G45" s="39">
        <f>ROUND(RV_DATA!N30, 2)</f>
        <v>70307.210000000006</v>
      </c>
      <c r="H45" s="39">
        <f>ROUND(SUMIF(RV_DATA!AB27:AB39, -255407920, RV_DATA!O27:O39), 6)</f>
        <v>66631.520000000004</v>
      </c>
      <c r="AL45">
        <v>3</v>
      </c>
    </row>
    <row r="46" spans="1:38" ht="28.5" x14ac:dyDescent="0.2">
      <c r="A46" s="36" t="s">
        <v>745</v>
      </c>
      <c r="B46" s="37" t="s">
        <v>747</v>
      </c>
      <c r="C46" s="37" t="s">
        <v>52</v>
      </c>
      <c r="D46" s="38">
        <f>ROUND(SUMIF(RV_DATA!AB27:AB39, 228560151, RV_DATA!I27:I39), 6)</f>
        <v>7.6690500000000004</v>
      </c>
      <c r="E46" s="39">
        <f>ROUND(RV_DATA!K29, 2)</f>
        <v>565</v>
      </c>
      <c r="F46" s="39">
        <f>ROUND(SUMIF(RV_DATA!AB27:AB39, 228560151, RV_DATA!M27:M39), 6)</f>
        <v>4333.01</v>
      </c>
      <c r="G46" s="39">
        <f>ROUND(RV_DATA!N29, 2)</f>
        <v>6373.2</v>
      </c>
      <c r="H46" s="39">
        <f>ROUND(SUMIF(RV_DATA!AB27:AB39, 228560151, RV_DATA!O27:O39), 6)</f>
        <v>48876.35</v>
      </c>
      <c r="AL46">
        <v>3</v>
      </c>
    </row>
    <row r="47" spans="1:38" ht="28.5" x14ac:dyDescent="0.2">
      <c r="A47" s="36" t="s">
        <v>748</v>
      </c>
      <c r="B47" s="37" t="s">
        <v>750</v>
      </c>
      <c r="C47" s="37" t="s">
        <v>52</v>
      </c>
      <c r="D47" s="38">
        <f>ROUND(SUMIF(RV_DATA!AB27:AB39, -368703330, RV_DATA!I27:I39), 6)</f>
        <v>4.3645000000000003E-2</v>
      </c>
      <c r="E47" s="39">
        <f>ROUND(RV_DATA!K28, 2)</f>
        <v>389</v>
      </c>
      <c r="F47" s="39">
        <f>ROUND(SUMIF(RV_DATA!AB27:AB39, -368703330, RV_DATA!M27:M39), 6)</f>
        <v>16.96</v>
      </c>
      <c r="G47" s="39">
        <f>ROUND(RV_DATA!N28, 2)</f>
        <v>4512.3999999999996</v>
      </c>
      <c r="H47" s="39">
        <f>ROUND(SUMIF(RV_DATA!AB27:AB39, -368703330, RV_DATA!O27:O39), 6)</f>
        <v>196.74</v>
      </c>
      <c r="AL47">
        <v>3</v>
      </c>
    </row>
    <row r="48" spans="1:38" ht="28.5" x14ac:dyDescent="0.2">
      <c r="A48" s="36" t="s">
        <v>751</v>
      </c>
      <c r="B48" s="37" t="s">
        <v>753</v>
      </c>
      <c r="C48" s="37" t="s">
        <v>754</v>
      </c>
      <c r="D48" s="38">
        <f>ROUND(SUMIF(RV_DATA!AB27:AB39, -30291654, RV_DATA!I27:I39), 6)</f>
        <v>9.9760000000000001E-2</v>
      </c>
      <c r="E48" s="39">
        <f>ROUND(RV_DATA!K27, 2)</f>
        <v>794</v>
      </c>
      <c r="F48" s="39">
        <f>ROUND(SUMIF(RV_DATA!AB27:AB39, -30291654, RV_DATA!M27:M39), 6)</f>
        <v>79.180000000000007</v>
      </c>
      <c r="G48" s="39">
        <f>ROUND(RV_DATA!N27, 2)</f>
        <v>15570.34</v>
      </c>
      <c r="H48" s="39">
        <f>ROUND(SUMIF(RV_DATA!AB27:AB39, -30291654, RV_DATA!O27:O39), 6)</f>
        <v>1552.72</v>
      </c>
      <c r="AL48">
        <v>3</v>
      </c>
    </row>
    <row r="49" spans="1:38" ht="15" x14ac:dyDescent="0.25">
      <c r="A49" s="40" t="s">
        <v>1278</v>
      </c>
      <c r="B49" s="40"/>
      <c r="C49" s="40"/>
      <c r="D49" s="40"/>
      <c r="E49" s="41">
        <f>SUMIF(AL41:AL48, 3, F41:F48)</f>
        <v>28552.059999999998</v>
      </c>
      <c r="F49" s="41"/>
      <c r="G49" s="41">
        <f>SUMIF(AL41:AL48, 3, H41:H48)</f>
        <v>301786.57999999996</v>
      </c>
      <c r="H49" s="40"/>
    </row>
    <row r="50" spans="1:38" ht="16.5" x14ac:dyDescent="0.2">
      <c r="A50" s="24" t="str">
        <f>CONCATENATE("Подраздел: ",IF(Source!G100&lt;&gt;"Новый подраздел", Source!G100, ""))</f>
        <v>Подраздел: Ворота</v>
      </c>
      <c r="B50" s="25"/>
      <c r="C50" s="25"/>
      <c r="D50" s="25"/>
      <c r="E50" s="25"/>
      <c r="F50" s="25"/>
      <c r="G50" s="25"/>
      <c r="H50" s="25"/>
    </row>
    <row r="51" spans="1:38" ht="14.25" x14ac:dyDescent="0.2">
      <c r="A51" s="34" t="s">
        <v>1273</v>
      </c>
      <c r="B51" s="35"/>
      <c r="C51" s="35"/>
      <c r="D51" s="35"/>
      <c r="E51" s="35"/>
      <c r="F51" s="35"/>
      <c r="G51" s="35"/>
      <c r="H51" s="35"/>
    </row>
    <row r="52" spans="1:38" ht="14.25" x14ac:dyDescent="0.2">
      <c r="A52" s="36" t="s">
        <v>703</v>
      </c>
      <c r="B52" s="37" t="s">
        <v>704</v>
      </c>
      <c r="C52" s="37" t="s">
        <v>696</v>
      </c>
      <c r="D52" s="38">
        <f>ROUND(SUMIF(RV_DATA!AB41:AB89, 1494462434, RV_DATA!I41:I89), 6)</f>
        <v>0.71279999999999999</v>
      </c>
      <c r="E52" s="39">
        <f>ROUND(RV_DATA!K45, 2)</f>
        <v>7.97</v>
      </c>
      <c r="F52" s="39">
        <f>ROUND(SUMIF(RV_DATA!AB41:AB89, 1494462434, RV_DATA!M41:M89), 6)</f>
        <v>5.68</v>
      </c>
      <c r="G52" s="39">
        <f>ROUND(RV_DATA!N45, 2)</f>
        <v>7.97</v>
      </c>
      <c r="H52" s="39">
        <f>ROUND(SUMIF(RV_DATA!AB41:AB89, 1494462434, RV_DATA!O41:O89), 6)</f>
        <v>5.68</v>
      </c>
      <c r="AL52">
        <v>1</v>
      </c>
    </row>
    <row r="53" spans="1:38" ht="28.5" x14ac:dyDescent="0.2">
      <c r="A53" s="36" t="s">
        <v>819</v>
      </c>
      <c r="B53" s="37" t="s">
        <v>820</v>
      </c>
      <c r="C53" s="37" t="s">
        <v>696</v>
      </c>
      <c r="D53" s="38">
        <f>ROUND(SUMIF(RV_DATA!AB41:AB89, -693270414, RV_DATA!I41:I89), 6)</f>
        <v>10.804209999999999</v>
      </c>
      <c r="E53" s="39">
        <f>ROUND(RV_DATA!K89, 2)</f>
        <v>9.4</v>
      </c>
      <c r="F53" s="39">
        <f>ROUND(SUMIF(RV_DATA!AB41:AB89, -693270414, RV_DATA!M41:M89), 6)</f>
        <v>101.56</v>
      </c>
      <c r="G53" s="39">
        <f>ROUND(RV_DATA!N89, 2)</f>
        <v>9.4</v>
      </c>
      <c r="H53" s="39">
        <f>ROUND(SUMIF(RV_DATA!AB41:AB89, -693270414, RV_DATA!O41:O89), 6)</f>
        <v>101.56</v>
      </c>
      <c r="AL53">
        <v>1</v>
      </c>
    </row>
    <row r="54" spans="1:38" ht="28.5" x14ac:dyDescent="0.2">
      <c r="A54" s="36" t="s">
        <v>786</v>
      </c>
      <c r="B54" s="37" t="s">
        <v>787</v>
      </c>
      <c r="C54" s="37" t="s">
        <v>696</v>
      </c>
      <c r="D54" s="38">
        <f>ROUND(SUMIF(RV_DATA!AB41:AB89, 1979772072, RV_DATA!I41:I89), 6)</f>
        <v>27.96</v>
      </c>
      <c r="E54" s="39">
        <f>ROUND(RV_DATA!K60, 2)</f>
        <v>8.99</v>
      </c>
      <c r="F54" s="39">
        <f>ROUND(SUMIF(RV_DATA!AB41:AB89, 1979772072, RV_DATA!M41:M89), 6)</f>
        <v>251.36</v>
      </c>
      <c r="G54" s="39">
        <f>ROUND(RV_DATA!N60, 2)</f>
        <v>8.99</v>
      </c>
      <c r="H54" s="39">
        <f>ROUND(SUMIF(RV_DATA!AB41:AB89, 1979772072, RV_DATA!O41:O89), 6)</f>
        <v>251.36</v>
      </c>
      <c r="AL54">
        <v>1</v>
      </c>
    </row>
    <row r="55" spans="1:38" ht="15" x14ac:dyDescent="0.25">
      <c r="A55" s="40" t="s">
        <v>1274</v>
      </c>
      <c r="B55" s="40"/>
      <c r="C55" s="40"/>
      <c r="D55" s="40"/>
      <c r="E55" s="41">
        <f>SUMIF(AL52:AL54, 1, F52:F54)</f>
        <v>358.6</v>
      </c>
      <c r="F55" s="41"/>
      <c r="G55" s="41">
        <f>SUMIF(AL52:AL54, 1, H52:H54)</f>
        <v>358.6</v>
      </c>
      <c r="H55" s="40"/>
    </row>
    <row r="56" spans="1:38" ht="14.25" x14ac:dyDescent="0.2">
      <c r="A56" s="34" t="s">
        <v>1275</v>
      </c>
      <c r="B56" s="35"/>
      <c r="C56" s="35"/>
      <c r="D56" s="35"/>
      <c r="E56" s="35"/>
      <c r="F56" s="35"/>
      <c r="G56" s="35"/>
      <c r="H56" s="35"/>
    </row>
    <row r="57" spans="1:38" ht="42.75" x14ac:dyDescent="0.2">
      <c r="A57" s="36" t="s">
        <v>821</v>
      </c>
      <c r="B57" s="37" t="s">
        <v>823</v>
      </c>
      <c r="C57" s="37" t="s">
        <v>700</v>
      </c>
      <c r="D57" s="38">
        <f>ROUND(SUMIF(RV_DATA!AB41:AB89, -910470663, RV_DATA!I41:I89), 6)</f>
        <v>9.7860000000000003E-2</v>
      </c>
      <c r="E57" s="39">
        <f>ROUND(RV_DATA!K88, 2)</f>
        <v>159.85</v>
      </c>
      <c r="F57" s="39">
        <f>ROUND(SUMIF(RV_DATA!AB41:AB89, -910470663, RV_DATA!M41:M89), 6)</f>
        <v>15.64</v>
      </c>
      <c r="G57" s="39">
        <f>ROUND(RV_DATA!N88, 2)</f>
        <v>1791.92</v>
      </c>
      <c r="H57" s="39">
        <f>ROUND(SUMIF(RV_DATA!AB41:AB89, -910470663, RV_DATA!O41:O89), 6)</f>
        <v>175.32</v>
      </c>
      <c r="AL57">
        <v>2</v>
      </c>
    </row>
    <row r="58" spans="1:38" ht="42.75" x14ac:dyDescent="0.2">
      <c r="A58" s="36" t="s">
        <v>788</v>
      </c>
      <c r="B58" s="37" t="s">
        <v>790</v>
      </c>
      <c r="C58" s="37" t="s">
        <v>700</v>
      </c>
      <c r="D58" s="38">
        <f>ROUND(SUMIF(RV_DATA!AB41:AB89, 909939467, RV_DATA!I41:I89), 6)</f>
        <v>0.11650000000000001</v>
      </c>
      <c r="E58" s="39">
        <f>ROUND(RV_DATA!K59, 2)</f>
        <v>138.54</v>
      </c>
      <c r="F58" s="39">
        <f>ROUND(SUMIF(RV_DATA!AB41:AB89, 909939467, RV_DATA!M41:M89), 6)</f>
        <v>16.14</v>
      </c>
      <c r="G58" s="39">
        <f>ROUND(RV_DATA!N59, 2)</f>
        <v>1471.29</v>
      </c>
      <c r="H58" s="39">
        <f>ROUND(SUMIF(RV_DATA!AB41:AB89, 909939467, RV_DATA!O41:O89), 6)</f>
        <v>171.41</v>
      </c>
      <c r="AL58">
        <v>2</v>
      </c>
    </row>
    <row r="59" spans="1:38" ht="42.75" x14ac:dyDescent="0.2">
      <c r="A59" s="36" t="s">
        <v>721</v>
      </c>
      <c r="B59" s="37" t="s">
        <v>723</v>
      </c>
      <c r="C59" s="37" t="s">
        <v>700</v>
      </c>
      <c r="D59" s="38">
        <f>ROUND(SUMIF(RV_DATA!AB41:AB89, 887395808, RV_DATA!I41:I89), 6)</f>
        <v>2.7959999999999999E-2</v>
      </c>
      <c r="E59" s="39">
        <f>ROUND(RV_DATA!K87, 2)</f>
        <v>124.14</v>
      </c>
      <c r="F59" s="39">
        <f>ROUND(SUMIF(RV_DATA!AB41:AB89, 887395808, RV_DATA!M41:M89), 6)</f>
        <v>3.47</v>
      </c>
      <c r="G59" s="39">
        <f>ROUND(RV_DATA!N87, 2)</f>
        <v>1453.68</v>
      </c>
      <c r="H59" s="39">
        <f>ROUND(SUMIF(RV_DATA!AB41:AB89, 887395808, RV_DATA!O41:O89), 6)</f>
        <v>40.630000000000003</v>
      </c>
      <c r="AL59">
        <v>2</v>
      </c>
    </row>
    <row r="60" spans="1:38" ht="28.5" x14ac:dyDescent="0.2">
      <c r="A60" s="36" t="s">
        <v>824</v>
      </c>
      <c r="B60" s="37" t="s">
        <v>826</v>
      </c>
      <c r="C60" s="37" t="s">
        <v>700</v>
      </c>
      <c r="D60" s="38">
        <f>ROUND(SUMIF(RV_DATA!AB41:AB89, -786812121, RV_DATA!I41:I89), 6)</f>
        <v>0.94830999999999999</v>
      </c>
      <c r="E60" s="39">
        <f>ROUND(RV_DATA!K86, 2)</f>
        <v>576.84</v>
      </c>
      <c r="F60" s="39">
        <f>ROUND(SUMIF(RV_DATA!AB41:AB89, -786812121, RV_DATA!M41:M89), 6)</f>
        <v>547.02</v>
      </c>
      <c r="G60" s="39">
        <f>ROUND(RV_DATA!N86, 2)</f>
        <v>5549.2</v>
      </c>
      <c r="H60" s="39">
        <f>ROUND(SUMIF(RV_DATA!AB41:AB89, -786812121, RV_DATA!O41:O89), 6)</f>
        <v>5262.33</v>
      </c>
      <c r="AL60">
        <v>2</v>
      </c>
    </row>
    <row r="61" spans="1:38" ht="28.5" x14ac:dyDescent="0.2">
      <c r="A61" s="36" t="s">
        <v>827</v>
      </c>
      <c r="B61" s="37" t="s">
        <v>829</v>
      </c>
      <c r="C61" s="37" t="s">
        <v>700</v>
      </c>
      <c r="D61" s="38">
        <f>ROUND(SUMIF(RV_DATA!AB41:AB89, -1264283530, RV_DATA!I41:I89), 6)</f>
        <v>2.3300000000000001E-2</v>
      </c>
      <c r="E61" s="39">
        <f>ROUND(RV_DATA!K85, 2)</f>
        <v>1.52</v>
      </c>
      <c r="F61" s="39">
        <f>ROUND(SUMIF(RV_DATA!AB41:AB89, -1264283530, RV_DATA!M41:M89), 6)</f>
        <v>0.03</v>
      </c>
      <c r="G61" s="39">
        <f>ROUND(RV_DATA!N85, 2)</f>
        <v>8.09</v>
      </c>
      <c r="H61" s="39">
        <f>ROUND(SUMIF(RV_DATA!AB41:AB89, -1264283530, RV_DATA!O41:O89), 6)</f>
        <v>0.16</v>
      </c>
      <c r="AL61">
        <v>2</v>
      </c>
    </row>
    <row r="62" spans="1:38" ht="28.5" x14ac:dyDescent="0.2">
      <c r="A62" s="36" t="s">
        <v>830</v>
      </c>
      <c r="B62" s="37" t="s">
        <v>832</v>
      </c>
      <c r="C62" s="37" t="s">
        <v>700</v>
      </c>
      <c r="D62" s="38">
        <f>ROUND(SUMIF(RV_DATA!AB41:AB89, 1773686854, RV_DATA!I41:I89), 6)</f>
        <v>7.9219999999999999E-2</v>
      </c>
      <c r="E62" s="39">
        <f>ROUND(RV_DATA!K84, 2)</f>
        <v>1.85</v>
      </c>
      <c r="F62" s="39">
        <f>ROUND(SUMIF(RV_DATA!AB41:AB89, 1773686854, RV_DATA!M41:M89), 6)</f>
        <v>0.15</v>
      </c>
      <c r="G62" s="39">
        <f>ROUND(RV_DATA!N84, 2)</f>
        <v>9.6199999999999992</v>
      </c>
      <c r="H62" s="39">
        <f>ROUND(SUMIF(RV_DATA!AB41:AB89, 1773686854, RV_DATA!O41:O89), 6)</f>
        <v>0.78</v>
      </c>
      <c r="AL62">
        <v>2</v>
      </c>
    </row>
    <row r="63" spans="1:38" ht="28.5" x14ac:dyDescent="0.2">
      <c r="A63" s="36" t="s">
        <v>791</v>
      </c>
      <c r="B63" s="37" t="s">
        <v>793</v>
      </c>
      <c r="C63" s="37" t="s">
        <v>700</v>
      </c>
      <c r="D63" s="38">
        <f>ROUND(SUMIF(RV_DATA!AB41:AB89, 1774129091, RV_DATA!I41:I89), 6)</f>
        <v>0.34017999999999998</v>
      </c>
      <c r="E63" s="39">
        <f>ROUND(RV_DATA!K58, 2)</f>
        <v>7.11</v>
      </c>
      <c r="F63" s="39">
        <f>ROUND(SUMIF(RV_DATA!AB41:AB89, 1774129091, RV_DATA!M41:M89), 6)</f>
        <v>2.42</v>
      </c>
      <c r="G63" s="39">
        <f>ROUND(RV_DATA!N58, 2)</f>
        <v>37.19</v>
      </c>
      <c r="H63" s="39">
        <f>ROUND(SUMIF(RV_DATA!AB41:AB89, 1774129091, RV_DATA!O41:O89), 6)</f>
        <v>12.65</v>
      </c>
      <c r="AL63">
        <v>2</v>
      </c>
    </row>
    <row r="64" spans="1:38" ht="28.5" x14ac:dyDescent="0.2">
      <c r="A64" s="36" t="s">
        <v>794</v>
      </c>
      <c r="B64" s="37" t="s">
        <v>796</v>
      </c>
      <c r="C64" s="37" t="s">
        <v>700</v>
      </c>
      <c r="D64" s="38">
        <f>ROUND(SUMIF(RV_DATA!AB41:AB89, 941240836, RV_DATA!I41:I89), 6)</f>
        <v>7.0598999999999998</v>
      </c>
      <c r="E64" s="39">
        <f>ROUND(RV_DATA!K57, 2)</f>
        <v>7.55</v>
      </c>
      <c r="F64" s="39">
        <f>ROUND(SUMIF(RV_DATA!AB41:AB89, 941240836, RV_DATA!M41:M89), 6)</f>
        <v>53.3</v>
      </c>
      <c r="G64" s="39">
        <f>ROUND(RV_DATA!N57, 2)</f>
        <v>51.94</v>
      </c>
      <c r="H64" s="39">
        <f>ROUND(SUMIF(RV_DATA!AB41:AB89, 941240836, RV_DATA!O41:O89), 6)</f>
        <v>366.7</v>
      </c>
      <c r="AL64">
        <v>2</v>
      </c>
    </row>
    <row r="65" spans="1:38" ht="14.25" x14ac:dyDescent="0.2">
      <c r="A65" s="36" t="s">
        <v>777</v>
      </c>
      <c r="B65" s="37" t="s">
        <v>779</v>
      </c>
      <c r="C65" s="37" t="s">
        <v>700</v>
      </c>
      <c r="D65" s="38">
        <f>ROUND(SUMIF(RV_DATA!AB41:AB89, 1695468324, RV_DATA!I41:I89), 6)</f>
        <v>0.75492000000000004</v>
      </c>
      <c r="E65" s="39">
        <f>ROUND(RV_DATA!K56, 2)</f>
        <v>1.43</v>
      </c>
      <c r="F65" s="39">
        <f>ROUND(SUMIF(RV_DATA!AB41:AB89, 1695468324, RV_DATA!M41:M89), 6)</f>
        <v>1.08</v>
      </c>
      <c r="G65" s="39">
        <f>ROUND(RV_DATA!N56, 2)</f>
        <v>9.35</v>
      </c>
      <c r="H65" s="39">
        <f>ROUND(SUMIF(RV_DATA!AB41:AB89, 1695468324, RV_DATA!O41:O89), 6)</f>
        <v>7.07</v>
      </c>
      <c r="AL65">
        <v>2</v>
      </c>
    </row>
    <row r="66" spans="1:38" ht="42.75" x14ac:dyDescent="0.2">
      <c r="A66" s="36" t="s">
        <v>833</v>
      </c>
      <c r="B66" s="37" t="s">
        <v>835</v>
      </c>
      <c r="C66" s="37" t="s">
        <v>700</v>
      </c>
      <c r="D66" s="38">
        <f>ROUND(SUMIF(RV_DATA!AB41:AB89, 642182244, RV_DATA!I41:I89), 6)</f>
        <v>3.4973299999999998</v>
      </c>
      <c r="E66" s="39">
        <f>ROUND(RV_DATA!K81, 2)</f>
        <v>9.6999999999999993</v>
      </c>
      <c r="F66" s="39">
        <f>ROUND(SUMIF(RV_DATA!AB41:AB89, 642182244, RV_DATA!M41:M89), 6)</f>
        <v>33.92</v>
      </c>
      <c r="G66" s="39">
        <f>ROUND(RV_DATA!N81, 2)</f>
        <v>116.79</v>
      </c>
      <c r="H66" s="39">
        <f>ROUND(SUMIF(RV_DATA!AB41:AB89, 642182244, RV_DATA!O41:O89), 6)</f>
        <v>408.4</v>
      </c>
      <c r="AL66">
        <v>2</v>
      </c>
    </row>
    <row r="67" spans="1:38" ht="57" x14ac:dyDescent="0.2">
      <c r="A67" s="36" t="s">
        <v>836</v>
      </c>
      <c r="B67" s="37" t="s">
        <v>838</v>
      </c>
      <c r="C67" s="37" t="s">
        <v>700</v>
      </c>
      <c r="D67" s="38">
        <f>ROUND(SUMIF(RV_DATA!AB41:AB89, -1084734523, RV_DATA!I41:I89), 6)</f>
        <v>0.46833000000000002</v>
      </c>
      <c r="E67" s="39">
        <f>ROUND(RV_DATA!K80, 2)</f>
        <v>6.4</v>
      </c>
      <c r="F67" s="39">
        <f>ROUND(SUMIF(RV_DATA!AB41:AB89, -1084734523, RV_DATA!M41:M89), 6)</f>
        <v>3</v>
      </c>
      <c r="G67" s="39">
        <f>ROUND(RV_DATA!N80, 2)</f>
        <v>74.94</v>
      </c>
      <c r="H67" s="39">
        <f>ROUND(SUMIF(RV_DATA!AB41:AB89, -1084734523, RV_DATA!O41:O89), 6)</f>
        <v>35.130000000000003</v>
      </c>
      <c r="AL67">
        <v>2</v>
      </c>
    </row>
    <row r="68" spans="1:38" ht="14.25" x14ac:dyDescent="0.2">
      <c r="A68" s="36" t="s">
        <v>707</v>
      </c>
      <c r="B68" s="37" t="s">
        <v>709</v>
      </c>
      <c r="C68" s="37" t="s">
        <v>700</v>
      </c>
      <c r="D68" s="38">
        <f>ROUND(SUMIF(RV_DATA!AB41:AB89, -1047769044, RV_DATA!I41:I89), 6)</f>
        <v>0.21479999999999999</v>
      </c>
      <c r="E68" s="39">
        <f>ROUND(RV_DATA!K44, 2)</f>
        <v>189</v>
      </c>
      <c r="F68" s="39">
        <f>ROUND(SUMIF(RV_DATA!AB41:AB89, -1047769044, RV_DATA!M41:M89), 6)</f>
        <v>40.6</v>
      </c>
      <c r="G68" s="39">
        <f>ROUND(RV_DATA!N44, 2)</f>
        <v>1532.79</v>
      </c>
      <c r="H68" s="39">
        <f>ROUND(SUMIF(RV_DATA!AB41:AB89, -1047769044, RV_DATA!O41:O89), 6)</f>
        <v>329.27</v>
      </c>
      <c r="AL68">
        <v>2</v>
      </c>
    </row>
    <row r="69" spans="1:38" ht="28.5" x14ac:dyDescent="0.2">
      <c r="A69" s="36" t="s">
        <v>710</v>
      </c>
      <c r="B69" s="37" t="s">
        <v>712</v>
      </c>
      <c r="C69" s="37" t="s">
        <v>700</v>
      </c>
      <c r="D69" s="38">
        <f>ROUND(SUMIF(RV_DATA!AB41:AB89, -2144793753, RV_DATA!I41:I89), 6)</f>
        <v>0.21859999999999999</v>
      </c>
      <c r="E69" s="39">
        <f>ROUND(RV_DATA!K43, 2)</f>
        <v>123.86</v>
      </c>
      <c r="F69" s="39">
        <f>ROUND(SUMIF(RV_DATA!AB41:AB89, -2144793753, RV_DATA!M41:M89), 6)</f>
        <v>27.08</v>
      </c>
      <c r="G69" s="39">
        <f>ROUND(RV_DATA!N43, 2)</f>
        <v>2147.73</v>
      </c>
      <c r="H69" s="39">
        <f>ROUND(SUMIF(RV_DATA!AB41:AB89, -2144793753, RV_DATA!O41:O89), 6)</f>
        <v>469.57</v>
      </c>
      <c r="AL69">
        <v>2</v>
      </c>
    </row>
    <row r="70" spans="1:38" ht="14.25" x14ac:dyDescent="0.2">
      <c r="A70" s="36" t="s">
        <v>797</v>
      </c>
      <c r="B70" s="37" t="s">
        <v>799</v>
      </c>
      <c r="C70" s="37" t="s">
        <v>700</v>
      </c>
      <c r="D70" s="38">
        <f>ROUND(SUMIF(RV_DATA!AB41:AB89, 70027163, RV_DATA!I41:I89), 6)</f>
        <v>0.11183999999999999</v>
      </c>
      <c r="E70" s="39">
        <f>ROUND(RV_DATA!K55, 2)</f>
        <v>2.15</v>
      </c>
      <c r="F70" s="39">
        <f>ROUND(SUMIF(RV_DATA!AB41:AB89, 70027163, RV_DATA!M41:M89), 6)</f>
        <v>0.24</v>
      </c>
      <c r="G70" s="39">
        <f>ROUND(RV_DATA!N55, 2)</f>
        <v>12.13</v>
      </c>
      <c r="H70" s="39">
        <f>ROUND(SUMIF(RV_DATA!AB41:AB89, 70027163, RV_DATA!O41:O89), 6)</f>
        <v>1.36</v>
      </c>
      <c r="AL70">
        <v>2</v>
      </c>
    </row>
    <row r="71" spans="1:38" ht="14.25" x14ac:dyDescent="0.2">
      <c r="A71" s="36" t="s">
        <v>800</v>
      </c>
      <c r="B71" s="37" t="s">
        <v>802</v>
      </c>
      <c r="C71" s="37" t="s">
        <v>700</v>
      </c>
      <c r="D71" s="38">
        <f>ROUND(SUMIF(RV_DATA!AB41:AB89, -637050274, RV_DATA!I41:I89), 6)</f>
        <v>0.29591000000000001</v>
      </c>
      <c r="E71" s="39">
        <f>ROUND(RV_DATA!K54, 2)</f>
        <v>5.4</v>
      </c>
      <c r="F71" s="39">
        <f>ROUND(SUMIF(RV_DATA!AB41:AB89, -637050274, RV_DATA!M41:M89), 6)</f>
        <v>1.59</v>
      </c>
      <c r="G71" s="39">
        <f>ROUND(RV_DATA!N54, 2)</f>
        <v>25.97</v>
      </c>
      <c r="H71" s="39">
        <f>ROUND(SUMIF(RV_DATA!AB41:AB89, -637050274, RV_DATA!O41:O89), 6)</f>
        <v>7.65</v>
      </c>
      <c r="AL71">
        <v>2</v>
      </c>
    </row>
    <row r="72" spans="1:38" ht="14.25" x14ac:dyDescent="0.2">
      <c r="A72" s="36" t="s">
        <v>803</v>
      </c>
      <c r="B72" s="37" t="s">
        <v>805</v>
      </c>
      <c r="C72" s="37" t="s">
        <v>700</v>
      </c>
      <c r="D72" s="38">
        <f>ROUND(SUMIF(RV_DATA!AB41:AB89, -1876761393, RV_DATA!I41:I89), 6)</f>
        <v>0.19572000000000001</v>
      </c>
      <c r="E72" s="39">
        <f>ROUND(RV_DATA!K53, 2)</f>
        <v>14.45</v>
      </c>
      <c r="F72" s="39">
        <f>ROUND(SUMIF(RV_DATA!AB41:AB89, -1876761393, RV_DATA!M41:M89), 6)</f>
        <v>2.83</v>
      </c>
      <c r="G72" s="39">
        <f>ROUND(RV_DATA!N53, 2)</f>
        <v>341.89</v>
      </c>
      <c r="H72" s="39">
        <f>ROUND(SUMIF(RV_DATA!AB41:AB89, -1876761393, RV_DATA!O41:O89), 6)</f>
        <v>66.959999999999994</v>
      </c>
      <c r="AL72">
        <v>2</v>
      </c>
    </row>
    <row r="73" spans="1:38" ht="28.5" x14ac:dyDescent="0.2">
      <c r="A73" s="36" t="s">
        <v>713</v>
      </c>
      <c r="B73" s="37" t="s">
        <v>715</v>
      </c>
      <c r="C73" s="37" t="s">
        <v>700</v>
      </c>
      <c r="D73" s="38">
        <f>ROUND(SUMIF(RV_DATA!AB41:AB89, 1619992053, RV_DATA!I41:I89), 6)</f>
        <v>6.0470000000000003E-2</v>
      </c>
      <c r="E73" s="39">
        <f>ROUND(RV_DATA!K42, 2)</f>
        <v>91.76</v>
      </c>
      <c r="F73" s="39">
        <f>ROUND(SUMIF(RV_DATA!AB41:AB89, 1619992053, RV_DATA!M41:M89), 6)</f>
        <v>5.55</v>
      </c>
      <c r="G73" s="39">
        <f>ROUND(RV_DATA!N42, 2)</f>
        <v>1305.74</v>
      </c>
      <c r="H73" s="39">
        <f>ROUND(SUMIF(RV_DATA!AB41:AB89, 1619992053, RV_DATA!O41:O89), 6)</f>
        <v>78.97</v>
      </c>
      <c r="AL73">
        <v>2</v>
      </c>
    </row>
    <row r="74" spans="1:38" ht="28.5" x14ac:dyDescent="0.2">
      <c r="A74" s="36" t="s">
        <v>806</v>
      </c>
      <c r="B74" s="37" t="s">
        <v>808</v>
      </c>
      <c r="C74" s="37" t="s">
        <v>700</v>
      </c>
      <c r="D74" s="38">
        <f>ROUND(SUMIF(RV_DATA!AB41:AB89, 1538582135, RV_DATA!I41:I89), 6)</f>
        <v>0.11650000000000001</v>
      </c>
      <c r="E74" s="39">
        <f>ROUND(RV_DATA!K52, 2)</f>
        <v>102.97</v>
      </c>
      <c r="F74" s="39">
        <f>ROUND(SUMIF(RV_DATA!AB41:AB89, 1538582135, RV_DATA!M41:M89), 6)</f>
        <v>12</v>
      </c>
      <c r="G74" s="39">
        <f>ROUND(RV_DATA!N52, 2)</f>
        <v>1368.47</v>
      </c>
      <c r="H74" s="39">
        <f>ROUND(SUMIF(RV_DATA!AB41:AB89, 1538582135, RV_DATA!O41:O89), 6)</f>
        <v>159.47999999999999</v>
      </c>
      <c r="AL74">
        <v>2</v>
      </c>
    </row>
    <row r="75" spans="1:38" ht="15" x14ac:dyDescent="0.25">
      <c r="A75" s="40" t="s">
        <v>1276</v>
      </c>
      <c r="B75" s="40"/>
      <c r="C75" s="40"/>
      <c r="D75" s="40"/>
      <c r="E75" s="41">
        <f>SUMIF(AL57:AL74, 2, F57:F74)</f>
        <v>766.06</v>
      </c>
      <c r="F75" s="41"/>
      <c r="G75" s="41">
        <f>SUMIF(AL57:AL74, 2, H57:H74)</f>
        <v>7593.8399999999974</v>
      </c>
      <c r="H75" s="40"/>
    </row>
    <row r="76" spans="1:38" ht="14.25" x14ac:dyDescent="0.2">
      <c r="A76" s="34" t="s">
        <v>1277</v>
      </c>
      <c r="B76" s="35"/>
      <c r="C76" s="35"/>
      <c r="D76" s="35"/>
      <c r="E76" s="35"/>
      <c r="F76" s="35"/>
      <c r="G76" s="35"/>
      <c r="H76" s="35"/>
    </row>
    <row r="77" spans="1:38" ht="14.25" x14ac:dyDescent="0.2">
      <c r="A77" s="36" t="s">
        <v>839</v>
      </c>
      <c r="B77" s="37" t="s">
        <v>841</v>
      </c>
      <c r="C77" s="37" t="s">
        <v>170</v>
      </c>
      <c r="D77" s="38">
        <f>ROUND(SUMIF(RV_DATA!AB41:AB89, 1686556190, RV_DATA!I41:I89), 6)</f>
        <v>2.3E-5</v>
      </c>
      <c r="E77" s="39">
        <f>ROUND(RV_DATA!K76, 2)</f>
        <v>37900</v>
      </c>
      <c r="F77" s="39">
        <f>ROUND(SUMIF(RV_DATA!AB41:AB89, 1686556190, RV_DATA!M41:M89), 6)</f>
        <v>0.88</v>
      </c>
      <c r="G77" s="39">
        <f>ROUND(RV_DATA!N76, 2)</f>
        <v>231948</v>
      </c>
      <c r="H77" s="39">
        <f>ROUND(SUMIF(RV_DATA!AB41:AB89, 1686556190, RV_DATA!O41:O89), 6)</f>
        <v>5.39</v>
      </c>
      <c r="AL77">
        <v>3</v>
      </c>
    </row>
    <row r="78" spans="1:38" ht="14.25" x14ac:dyDescent="0.2">
      <c r="A78" s="36" t="s">
        <v>187</v>
      </c>
      <c r="B78" s="37" t="s">
        <v>188</v>
      </c>
      <c r="C78" s="37" t="s">
        <v>52</v>
      </c>
      <c r="D78" s="38">
        <f>ROUND(SUMIF(RV_DATA!AB41:AB89, -1112411388, RV_DATA!I41:I89), 6)</f>
        <v>1.0601499999999999</v>
      </c>
      <c r="E78" s="39">
        <f>ROUND(RV_DATA!K51, 2)</f>
        <v>6.22</v>
      </c>
      <c r="F78" s="39">
        <f>ROUND(SUMIF(RV_DATA!AB41:AB89, -1112411388, RV_DATA!M41:M89), 6)</f>
        <v>6.6</v>
      </c>
      <c r="G78" s="39">
        <f>ROUND(RV_DATA!N51, 2)</f>
        <v>118.62</v>
      </c>
      <c r="H78" s="39">
        <f>ROUND(SUMIF(RV_DATA!AB41:AB89, -1112411388, RV_DATA!O41:O89), 6)</f>
        <v>125.86</v>
      </c>
      <c r="AL78">
        <v>3</v>
      </c>
    </row>
    <row r="79" spans="1:38" ht="28.5" x14ac:dyDescent="0.2">
      <c r="A79" s="36" t="s">
        <v>842</v>
      </c>
      <c r="B79" s="37" t="s">
        <v>844</v>
      </c>
      <c r="C79" s="37" t="s">
        <v>170</v>
      </c>
      <c r="D79" s="38">
        <f>ROUND(SUMIF(RV_DATA!AB41:AB89, -456759606, RV_DATA!I41:I89), 6)</f>
        <v>6.9999999999999999E-6</v>
      </c>
      <c r="E79" s="39">
        <f>ROUND(RV_DATA!K74, 2)</f>
        <v>4455</v>
      </c>
      <c r="F79" s="39">
        <f>ROUND(SUMIF(RV_DATA!AB41:AB89, -456759606, RV_DATA!M41:M89), 6)</f>
        <v>0.03</v>
      </c>
      <c r="G79" s="39">
        <f>ROUND(RV_DATA!N74, 2)</f>
        <v>31452.3</v>
      </c>
      <c r="H79" s="39">
        <f>ROUND(SUMIF(RV_DATA!AB41:AB89, -456759606, RV_DATA!O41:O89), 6)</f>
        <v>0.21</v>
      </c>
      <c r="AL79">
        <v>3</v>
      </c>
    </row>
    <row r="80" spans="1:38" ht="14.25" x14ac:dyDescent="0.2">
      <c r="A80" s="36" t="s">
        <v>845</v>
      </c>
      <c r="B80" s="37" t="s">
        <v>847</v>
      </c>
      <c r="C80" s="37" t="s">
        <v>170</v>
      </c>
      <c r="D80" s="38">
        <f>ROUND(SUMIF(RV_DATA!AB41:AB89, -376595282, RV_DATA!I41:I89), 6)</f>
        <v>4.5199999999999998E-4</v>
      </c>
      <c r="E80" s="39">
        <f>ROUND(RV_DATA!K73, 2)</f>
        <v>5191</v>
      </c>
      <c r="F80" s="39">
        <f>ROUND(SUMIF(RV_DATA!AB41:AB89, -376595282, RV_DATA!M41:M89), 6)</f>
        <v>2.35</v>
      </c>
      <c r="G80" s="39">
        <f>ROUND(RV_DATA!N73, 2)</f>
        <v>72674</v>
      </c>
      <c r="H80" s="39">
        <f>ROUND(SUMIF(RV_DATA!AB41:AB89, -376595282, RV_DATA!O41:O89), 6)</f>
        <v>32.9</v>
      </c>
      <c r="AL80">
        <v>3</v>
      </c>
    </row>
    <row r="81" spans="1:38" ht="14.25" x14ac:dyDescent="0.2">
      <c r="A81" s="36" t="s">
        <v>848</v>
      </c>
      <c r="B81" s="37" t="s">
        <v>850</v>
      </c>
      <c r="C81" s="37" t="s">
        <v>170</v>
      </c>
      <c r="D81" s="38">
        <f>ROUND(SUMIF(RV_DATA!AB41:AB89, -1783670211, RV_DATA!I41:I89), 6)</f>
        <v>5.359E-3</v>
      </c>
      <c r="E81" s="39">
        <f>ROUND(RV_DATA!K72, 2)</f>
        <v>10170</v>
      </c>
      <c r="F81" s="39">
        <f>ROUND(SUMIF(RV_DATA!AB41:AB89, -1783670211, RV_DATA!M41:M89), 6)</f>
        <v>54.5</v>
      </c>
      <c r="G81" s="39">
        <f>ROUND(RV_DATA!N72, 2)</f>
        <v>123870.6</v>
      </c>
      <c r="H81" s="39">
        <f>ROUND(SUMIF(RV_DATA!AB41:AB89, -1783670211, RV_DATA!O41:O89), 6)</f>
        <v>663.81</v>
      </c>
      <c r="AL81">
        <v>3</v>
      </c>
    </row>
    <row r="82" spans="1:38" ht="14.25" x14ac:dyDescent="0.2">
      <c r="A82" s="36" t="s">
        <v>809</v>
      </c>
      <c r="B82" s="37" t="s">
        <v>811</v>
      </c>
      <c r="C82" s="37" t="s">
        <v>170</v>
      </c>
      <c r="D82" s="38">
        <f>ROUND(SUMIF(RV_DATA!AB41:AB89, -1874844446, RV_DATA!I41:I89), 6)</f>
        <v>5.0099999999999997E-3</v>
      </c>
      <c r="E82" s="39">
        <f>ROUND(RV_DATA!K50, 2)</f>
        <v>10362</v>
      </c>
      <c r="F82" s="39">
        <f>ROUND(SUMIF(RV_DATA!AB41:AB89, -1874844446, RV_DATA!M41:M89), 6)</f>
        <v>51.91</v>
      </c>
      <c r="G82" s="39">
        <f>ROUND(RV_DATA!N50, 2)</f>
        <v>112531.32</v>
      </c>
      <c r="H82" s="39">
        <f>ROUND(SUMIF(RV_DATA!AB41:AB89, -1874844446, RV_DATA!O41:O89), 6)</f>
        <v>563.74</v>
      </c>
      <c r="AL82">
        <v>3</v>
      </c>
    </row>
    <row r="83" spans="1:38" ht="57" x14ac:dyDescent="0.2">
      <c r="A83" s="36" t="s">
        <v>244</v>
      </c>
      <c r="B83" s="37" t="s">
        <v>245</v>
      </c>
      <c r="C83" s="37" t="s">
        <v>170</v>
      </c>
      <c r="D83" s="38">
        <f>ROUND(SUMIF(RV_DATA!AB41:AB89, 1396225661, RV_DATA!I41:I89), 6)</f>
        <v>0.05</v>
      </c>
      <c r="E83" s="39">
        <f>ROUND(RV_DATA!K64, 2)</f>
        <v>21476</v>
      </c>
      <c r="F83" s="39">
        <f>ROUND(SUMIF(RV_DATA!AB41:AB89, 1396225661, RV_DATA!M41:M89), 6)</f>
        <v>1073.8</v>
      </c>
      <c r="G83" s="39">
        <f>ROUND(RV_DATA!N64, 2)</f>
        <v>137231.64000000001</v>
      </c>
      <c r="H83" s="39">
        <f>ROUND(SUMIF(RV_DATA!AB41:AB89, 1396225661, RV_DATA!O41:O89), 6)</f>
        <v>6861.58</v>
      </c>
      <c r="AL83">
        <v>3</v>
      </c>
    </row>
    <row r="84" spans="1:38" ht="14.25" x14ac:dyDescent="0.2">
      <c r="A84" s="36" t="s">
        <v>851</v>
      </c>
      <c r="B84" s="37" t="s">
        <v>853</v>
      </c>
      <c r="C84" s="37" t="s">
        <v>170</v>
      </c>
      <c r="D84" s="38">
        <f>ROUND(SUMIF(RV_DATA!AB41:AB89, 1198263553, RV_DATA!I41:I89), 6)</f>
        <v>1.9999999999999999E-6</v>
      </c>
      <c r="E84" s="39">
        <f>ROUND(RV_DATA!K71, 2)</f>
        <v>12936</v>
      </c>
      <c r="F84" s="39">
        <f>ROUND(SUMIF(RV_DATA!AB41:AB89, 1198263553, RV_DATA!M41:M89), 6)</f>
        <v>0.03</v>
      </c>
      <c r="G84" s="39">
        <f>ROUND(RV_DATA!N71, 2)</f>
        <v>111120.24</v>
      </c>
      <c r="H84" s="39">
        <f>ROUND(SUMIF(RV_DATA!AB41:AB89, 1198263553, RV_DATA!O41:O89), 6)</f>
        <v>0.26</v>
      </c>
      <c r="AL84">
        <v>3</v>
      </c>
    </row>
    <row r="85" spans="1:38" ht="14.25" x14ac:dyDescent="0.2">
      <c r="A85" s="36" t="s">
        <v>812</v>
      </c>
      <c r="B85" s="37" t="s">
        <v>814</v>
      </c>
      <c r="C85" s="37" t="s">
        <v>192</v>
      </c>
      <c r="D85" s="38">
        <f>ROUND(SUMIF(RV_DATA!AB41:AB89, 1803414858, RV_DATA!I41:I89), 6)</f>
        <v>0.25396999999999997</v>
      </c>
      <c r="E85" s="39">
        <f>ROUND(RV_DATA!K49, 2)</f>
        <v>6.62</v>
      </c>
      <c r="F85" s="39">
        <f>ROUND(SUMIF(RV_DATA!AB41:AB89, 1803414858, RV_DATA!M41:M89), 6)</f>
        <v>1.68</v>
      </c>
      <c r="G85" s="39">
        <f>ROUND(RV_DATA!N49, 2)</f>
        <v>53.09</v>
      </c>
      <c r="H85" s="39">
        <f>ROUND(SUMIF(RV_DATA!AB41:AB89, 1803414858, RV_DATA!O41:O89), 6)</f>
        <v>13.48</v>
      </c>
      <c r="AL85">
        <v>3</v>
      </c>
    </row>
    <row r="86" spans="1:38" ht="14.25" x14ac:dyDescent="0.2">
      <c r="A86" s="36" t="s">
        <v>854</v>
      </c>
      <c r="B86" s="37" t="s">
        <v>856</v>
      </c>
      <c r="C86" s="37" t="s">
        <v>170</v>
      </c>
      <c r="D86" s="38">
        <f>ROUND(SUMIF(RV_DATA!AB41:AB89, 1068711965, RV_DATA!I41:I89), 6)</f>
        <v>1.3999999999999999E-4</v>
      </c>
      <c r="E86" s="39">
        <f>ROUND(RV_DATA!K69, 2)</f>
        <v>9420</v>
      </c>
      <c r="F86" s="39">
        <f>ROUND(SUMIF(RV_DATA!AB41:AB89, 1068711965, RV_DATA!M41:M89), 6)</f>
        <v>1.32</v>
      </c>
      <c r="G86" s="39">
        <f>ROUND(RV_DATA!N69, 2)</f>
        <v>72063</v>
      </c>
      <c r="H86" s="39">
        <f>ROUND(SUMIF(RV_DATA!AB41:AB89, 1068711965, RV_DATA!O41:O89), 6)</f>
        <v>10.1</v>
      </c>
      <c r="AL86">
        <v>3</v>
      </c>
    </row>
    <row r="87" spans="1:38" ht="14.25" x14ac:dyDescent="0.2">
      <c r="A87" s="36" t="s">
        <v>240</v>
      </c>
      <c r="B87" s="37" t="s">
        <v>241</v>
      </c>
      <c r="C87" s="37" t="s">
        <v>170</v>
      </c>
      <c r="D87" s="38">
        <f>ROUND(SUMIF(RV_DATA!AB41:AB89, -479384609, RV_DATA!I41:I89), 6)</f>
        <v>3.7600000000000001E-2</v>
      </c>
      <c r="E87" s="39">
        <f>ROUND(RV_DATA!K63, 2)</f>
        <v>4872</v>
      </c>
      <c r="F87" s="39">
        <f>ROUND(SUMIF(RV_DATA!AB41:AB89, -479384609, RV_DATA!M41:M89), 6)</f>
        <v>183.19</v>
      </c>
      <c r="G87" s="39">
        <f>ROUND(RV_DATA!N63, 2)</f>
        <v>68208</v>
      </c>
      <c r="H87" s="39">
        <f>ROUND(SUMIF(RV_DATA!AB41:AB89, -479384609, RV_DATA!O41:O89), 6)</f>
        <v>2564.62</v>
      </c>
      <c r="AL87">
        <v>3</v>
      </c>
    </row>
    <row r="88" spans="1:38" ht="42.75" x14ac:dyDescent="0.2">
      <c r="A88" s="36" t="s">
        <v>857</v>
      </c>
      <c r="B88" s="37" t="s">
        <v>859</v>
      </c>
      <c r="C88" s="37" t="s">
        <v>52</v>
      </c>
      <c r="D88" s="38">
        <f>ROUND(SUMIF(RV_DATA!AB41:AB89, -1697308160, RV_DATA!I41:I89), 6)</f>
        <v>2.4000000000000001E-4</v>
      </c>
      <c r="E88" s="39">
        <f>ROUND(RV_DATA!K68, 2)</f>
        <v>1421</v>
      </c>
      <c r="F88" s="39">
        <f>ROUND(SUMIF(RV_DATA!AB41:AB89, -1697308160, RV_DATA!M41:M89), 6)</f>
        <v>0.34</v>
      </c>
      <c r="G88" s="39">
        <f>ROUND(RV_DATA!N68, 2)</f>
        <v>18572.47</v>
      </c>
      <c r="H88" s="39">
        <f>ROUND(SUMIF(RV_DATA!AB41:AB89, -1697308160, RV_DATA!O41:O89), 6)</f>
        <v>4.4400000000000004</v>
      </c>
      <c r="AL88">
        <v>3</v>
      </c>
    </row>
    <row r="89" spans="1:38" ht="42.75" x14ac:dyDescent="0.2">
      <c r="A89" s="36" t="s">
        <v>232</v>
      </c>
      <c r="B89" s="37" t="s">
        <v>233</v>
      </c>
      <c r="C89" s="37" t="s">
        <v>170</v>
      </c>
      <c r="D89" s="38">
        <f>ROUND(SUMIF(RV_DATA!AB41:AB89, -1032726550, RV_DATA!I41:I89), 6)</f>
        <v>8.4000000000000005E-2</v>
      </c>
      <c r="E89" s="39">
        <f>ROUND(RV_DATA!K61, 2)</f>
        <v>6232.24</v>
      </c>
      <c r="F89" s="39">
        <f>ROUND(SUMIF(RV_DATA!AB41:AB89, -1032726550, RV_DATA!M41:M89), 6)</f>
        <v>523.51</v>
      </c>
      <c r="G89" s="39">
        <f>ROUND(RV_DATA!N61, 2)</f>
        <v>65999.42</v>
      </c>
      <c r="H89" s="39">
        <f>ROUND(SUMIF(RV_DATA!AB41:AB89, -1032726550, RV_DATA!O41:O89), 6)</f>
        <v>5543.95</v>
      </c>
      <c r="AL89">
        <v>3</v>
      </c>
    </row>
    <row r="90" spans="1:38" ht="42.75" x14ac:dyDescent="0.2">
      <c r="A90" s="36" t="s">
        <v>236</v>
      </c>
      <c r="B90" s="37" t="s">
        <v>237</v>
      </c>
      <c r="C90" s="37" t="s">
        <v>170</v>
      </c>
      <c r="D90" s="38">
        <f>ROUND(SUMIF(RV_DATA!AB41:AB89, -1595798666, RV_DATA!I41:I89), 6)</f>
        <v>6.1400000000000003E-2</v>
      </c>
      <c r="E90" s="39">
        <f>ROUND(RV_DATA!K62, 2)</f>
        <v>6232.24</v>
      </c>
      <c r="F90" s="39">
        <f>ROUND(SUMIF(RV_DATA!AB41:AB89, -1595798666, RV_DATA!M41:M89), 6)</f>
        <v>382.66</v>
      </c>
      <c r="G90" s="39">
        <f>ROUND(RV_DATA!N62, 2)</f>
        <v>67432.84</v>
      </c>
      <c r="H90" s="39">
        <f>ROUND(SUMIF(RV_DATA!AB41:AB89, -1595798666, RV_DATA!O41:O89), 6)</f>
        <v>4140.38</v>
      </c>
      <c r="AL90">
        <v>3</v>
      </c>
    </row>
    <row r="91" spans="1:38" ht="14.25" x14ac:dyDescent="0.2">
      <c r="A91" s="36" t="s">
        <v>178</v>
      </c>
      <c r="B91" s="37" t="s">
        <v>179</v>
      </c>
      <c r="C91" s="37" t="s">
        <v>170</v>
      </c>
      <c r="D91" s="38">
        <f>ROUND(SUMIF(RV_DATA!AB41:AB89, -1628321020, RV_DATA!I41:I89), 6)</f>
        <v>7.2000000000000002E-5</v>
      </c>
      <c r="E91" s="39">
        <f>ROUND(RV_DATA!K67, 2)</f>
        <v>15620</v>
      </c>
      <c r="F91" s="39">
        <f>ROUND(SUMIF(RV_DATA!AB41:AB89, -1628321020, RV_DATA!M41:M89), 6)</f>
        <v>1.1299999999999999</v>
      </c>
      <c r="G91" s="39">
        <f>ROUND(RV_DATA!N67, 2)</f>
        <v>80130.600000000006</v>
      </c>
      <c r="H91" s="39">
        <f>ROUND(SUMIF(RV_DATA!AB41:AB89, -1628321020, RV_DATA!O41:O89), 6)</f>
        <v>5.8</v>
      </c>
      <c r="AL91">
        <v>3</v>
      </c>
    </row>
    <row r="92" spans="1:38" ht="71.25" x14ac:dyDescent="0.2">
      <c r="A92" s="36" t="s">
        <v>860</v>
      </c>
      <c r="B92" s="37" t="s">
        <v>862</v>
      </c>
      <c r="C92" s="37" t="s">
        <v>170</v>
      </c>
      <c r="D92" s="38">
        <f>ROUND(SUMIF(RV_DATA!AB41:AB89, 161394910, RV_DATA!I41:I89), 6)</f>
        <v>6.058E-3</v>
      </c>
      <c r="E92" s="39">
        <f>ROUND(RV_DATA!K66, 2)</f>
        <v>7712</v>
      </c>
      <c r="F92" s="39">
        <f>ROUND(SUMIF(RV_DATA!AB41:AB89, 161394910, RV_DATA!M41:M89), 6)</f>
        <v>46.72</v>
      </c>
      <c r="G92" s="39">
        <f>ROUND(RV_DATA!N66, 2)</f>
        <v>119227.52</v>
      </c>
      <c r="H92" s="39">
        <f>ROUND(SUMIF(RV_DATA!AB41:AB89, 161394910, RV_DATA!O41:O89), 6)</f>
        <v>722.29</v>
      </c>
      <c r="AL92">
        <v>3</v>
      </c>
    </row>
    <row r="93" spans="1:38" ht="42.75" x14ac:dyDescent="0.2">
      <c r="A93" s="36" t="s">
        <v>210</v>
      </c>
      <c r="B93" s="37" t="s">
        <v>211</v>
      </c>
      <c r="C93" s="37" t="s">
        <v>170</v>
      </c>
      <c r="D93" s="38">
        <f>ROUND(SUMIF(RV_DATA!AB41:AB89, -1378485090, RV_DATA!I41:I89), 6)</f>
        <v>5.0200000000000002E-2</v>
      </c>
      <c r="E93" s="39">
        <f>ROUND(RV_DATA!K46, 2)</f>
        <v>11315</v>
      </c>
      <c r="F93" s="39">
        <f>ROUND(SUMIF(RV_DATA!AB41:AB89, -1378485090, RV_DATA!M41:M89), 6)</f>
        <v>568.01</v>
      </c>
      <c r="G93" s="39">
        <f>ROUND(RV_DATA!N46, 2)</f>
        <v>114394.65</v>
      </c>
      <c r="H93" s="39">
        <f>ROUND(SUMIF(RV_DATA!AB41:AB89, -1378485090, RV_DATA!O41:O89), 6)</f>
        <v>5742.61</v>
      </c>
      <c r="AL93">
        <v>3</v>
      </c>
    </row>
    <row r="94" spans="1:38" ht="14.25" x14ac:dyDescent="0.2">
      <c r="A94" s="36" t="s">
        <v>716</v>
      </c>
      <c r="B94" s="37" t="s">
        <v>718</v>
      </c>
      <c r="C94" s="37" t="s">
        <v>368</v>
      </c>
      <c r="D94" s="38">
        <f>ROUND(SUMIF(RV_DATA!AB41:AB89, -209125875, RV_DATA!I41:I89), 6)</f>
        <v>1.1180000000000001</v>
      </c>
      <c r="E94" s="39">
        <f>ROUND(RV_DATA!K41, 2)</f>
        <v>4.2300000000000004</v>
      </c>
      <c r="F94" s="39">
        <f>ROUND(SUMIF(RV_DATA!AB41:AB89, -209125875, RV_DATA!M41:M89), 6)</f>
        <v>4.7300000000000004</v>
      </c>
      <c r="G94" s="39">
        <f>ROUND(RV_DATA!N41, 2)</f>
        <v>43.74</v>
      </c>
      <c r="H94" s="39">
        <f>ROUND(SUMIF(RV_DATA!AB41:AB89, -209125875, RV_DATA!O41:O89), 6)</f>
        <v>48.91</v>
      </c>
      <c r="AL94">
        <v>3</v>
      </c>
    </row>
    <row r="95" spans="1:38" ht="14.25" x14ac:dyDescent="0.2">
      <c r="A95" s="36" t="s">
        <v>214</v>
      </c>
      <c r="B95" s="37" t="s">
        <v>215</v>
      </c>
      <c r="C95" s="37" t="s">
        <v>52</v>
      </c>
      <c r="D95" s="38">
        <f>ROUND(SUMIF(RV_DATA!AB41:AB89, -2013407810, RV_DATA!I41:I89), 6)</f>
        <v>0.1268</v>
      </c>
      <c r="E95" s="39">
        <f>ROUND(RV_DATA!K47, 2)</f>
        <v>620</v>
      </c>
      <c r="F95" s="39">
        <f>ROUND(SUMIF(RV_DATA!AB41:AB89, -2013407810, RV_DATA!M41:M89), 6)</f>
        <v>78.62</v>
      </c>
      <c r="G95" s="39">
        <f>ROUND(RV_DATA!N47, 2)</f>
        <v>8413.4</v>
      </c>
      <c r="H95" s="39">
        <f>ROUND(SUMIF(RV_DATA!AB41:AB89, -2013407810, RV_DATA!O41:O89), 6)</f>
        <v>1066.82</v>
      </c>
      <c r="AL95">
        <v>3</v>
      </c>
    </row>
    <row r="96" spans="1:38" ht="71.25" x14ac:dyDescent="0.2">
      <c r="A96" s="36" t="s">
        <v>863</v>
      </c>
      <c r="B96" s="37" t="s">
        <v>865</v>
      </c>
      <c r="C96" s="37" t="s">
        <v>866</v>
      </c>
      <c r="D96" s="38">
        <f>ROUND(SUMIF(RV_DATA!AB41:AB89, 682266845, RV_DATA!I41:I89), 6)</f>
        <v>4.3569999999999998E-3</v>
      </c>
      <c r="E96" s="39">
        <f>ROUND(RV_DATA!K65, 2)</f>
        <v>71.5</v>
      </c>
      <c r="F96" s="39">
        <f>ROUND(SUMIF(RV_DATA!AB41:AB89, 682266845, RV_DATA!M41:M89), 6)</f>
        <v>0.31</v>
      </c>
      <c r="G96" s="39">
        <f>ROUND(RV_DATA!N65, 2)</f>
        <v>251.68</v>
      </c>
      <c r="H96" s="39">
        <f>ROUND(SUMIF(RV_DATA!AB41:AB89, 682266845, RV_DATA!O41:O89), 6)</f>
        <v>1.0900000000000001</v>
      </c>
      <c r="AL96">
        <v>3</v>
      </c>
    </row>
    <row r="97" spans="1:38" ht="28.5" x14ac:dyDescent="0.2">
      <c r="A97" s="36" t="s">
        <v>815</v>
      </c>
      <c r="B97" s="37" t="s">
        <v>817</v>
      </c>
      <c r="C97" s="37" t="s">
        <v>818</v>
      </c>
      <c r="D97" s="38">
        <f>ROUND(SUMIF(RV_DATA!AB41:AB89, 1023952351, RV_DATA!I41:I89), 6)</f>
        <v>5.0281399999999996</v>
      </c>
      <c r="E97" s="39">
        <f>ROUND(RV_DATA!K48, 2)</f>
        <v>1</v>
      </c>
      <c r="F97" s="39">
        <f>ROUND(SUMIF(RV_DATA!AB41:AB89, 1023952351, RV_DATA!M41:M89), 6)</f>
        <v>5.03</v>
      </c>
      <c r="G97" s="39">
        <f>ROUND(RV_DATA!N48, 2)</f>
        <v>1</v>
      </c>
      <c r="H97" s="39">
        <f>ROUND(SUMIF(RV_DATA!AB41:AB89, 1023952351, RV_DATA!O41:O89), 6)</f>
        <v>5.03</v>
      </c>
      <c r="AL97">
        <v>3</v>
      </c>
    </row>
    <row r="98" spans="1:38" ht="15" x14ac:dyDescent="0.25">
      <c r="A98" s="40" t="s">
        <v>1278</v>
      </c>
      <c r="B98" s="40"/>
      <c r="C98" s="40"/>
      <c r="D98" s="40"/>
      <c r="E98" s="41">
        <f>SUMIF(AL77:AL97, 3, F77:F97)</f>
        <v>2987.35</v>
      </c>
      <c r="F98" s="41"/>
      <c r="G98" s="41">
        <f>SUMIF(AL77:AL97, 3, H77:H97)</f>
        <v>28123.27</v>
      </c>
      <c r="H98" s="40"/>
    </row>
    <row r="99" spans="1:38" ht="16.5" x14ac:dyDescent="0.2">
      <c r="A99" s="24" t="str">
        <f>CONCATENATE("Подраздел: ",IF(Source!G157&lt;&gt;"Новый подраздел", Source!G157, ""))</f>
        <v>Подраздел: Калитка</v>
      </c>
      <c r="B99" s="25"/>
      <c r="C99" s="25"/>
      <c r="D99" s="25"/>
      <c r="E99" s="25"/>
      <c r="F99" s="25"/>
      <c r="G99" s="25"/>
      <c r="H99" s="25"/>
    </row>
    <row r="100" spans="1:38" ht="14.25" x14ac:dyDescent="0.2">
      <c r="A100" s="34" t="s">
        <v>1273</v>
      </c>
      <c r="B100" s="35"/>
      <c r="C100" s="35"/>
      <c r="D100" s="35"/>
      <c r="E100" s="35"/>
      <c r="F100" s="35"/>
      <c r="G100" s="35"/>
      <c r="H100" s="35"/>
    </row>
    <row r="101" spans="1:38" ht="14.25" x14ac:dyDescent="0.2">
      <c r="A101" s="36" t="s">
        <v>703</v>
      </c>
      <c r="B101" s="37" t="s">
        <v>704</v>
      </c>
      <c r="C101" s="37" t="s">
        <v>696</v>
      </c>
      <c r="D101" s="38">
        <f>ROUND(SUMIF(RV_DATA!AB91:AB99, 1494462434, RV_DATA!I91:I99), 6)</f>
        <v>0.77390000000000003</v>
      </c>
      <c r="E101" s="39">
        <f>ROUND(RV_DATA!K94, 2)</f>
        <v>7.97</v>
      </c>
      <c r="F101" s="39">
        <f>ROUND(SUMIF(RV_DATA!AB91:AB99, 1494462434, RV_DATA!M91:M99), 6)</f>
        <v>6.17</v>
      </c>
      <c r="G101" s="39">
        <f>ROUND(RV_DATA!N94, 2)</f>
        <v>7.97</v>
      </c>
      <c r="H101" s="39">
        <f>ROUND(SUMIF(RV_DATA!AB91:AB99, 1494462434, RV_DATA!O91:O99), 6)</f>
        <v>6.17</v>
      </c>
      <c r="AL101">
        <v>1</v>
      </c>
    </row>
    <row r="102" spans="1:38" ht="15" x14ac:dyDescent="0.25">
      <c r="A102" s="40" t="s">
        <v>1274</v>
      </c>
      <c r="B102" s="40"/>
      <c r="C102" s="40"/>
      <c r="D102" s="40"/>
      <c r="E102" s="41">
        <f>SUMIF(AL101:AL101, 1, F101:F101)</f>
        <v>6.17</v>
      </c>
      <c r="F102" s="41"/>
      <c r="G102" s="41">
        <f>SUMIF(AL101:AL101, 1, H101:H101)</f>
        <v>6.17</v>
      </c>
      <c r="H102" s="40"/>
    </row>
    <row r="103" spans="1:38" ht="14.25" x14ac:dyDescent="0.2">
      <c r="A103" s="34" t="s">
        <v>1275</v>
      </c>
      <c r="B103" s="35"/>
      <c r="C103" s="35"/>
      <c r="D103" s="35"/>
      <c r="E103" s="35"/>
      <c r="F103" s="35"/>
      <c r="G103" s="35"/>
      <c r="H103" s="35"/>
    </row>
    <row r="104" spans="1:38" ht="28.5" x14ac:dyDescent="0.2">
      <c r="A104" s="36" t="s">
        <v>794</v>
      </c>
      <c r="B104" s="37" t="s">
        <v>796</v>
      </c>
      <c r="C104" s="37" t="s">
        <v>700</v>
      </c>
      <c r="D104" s="38">
        <f>ROUND(SUMIF(RV_DATA!AB91:AB99, 941240836, RV_DATA!I91:I99), 6)</f>
        <v>0.11600000000000001</v>
      </c>
      <c r="E104" s="39">
        <f>ROUND(RV_DATA!K93, 2)</f>
        <v>7.55</v>
      </c>
      <c r="F104" s="39">
        <f>ROUND(SUMIF(RV_DATA!AB91:AB99, 941240836, RV_DATA!M91:M99), 6)</f>
        <v>0.88</v>
      </c>
      <c r="G104" s="39">
        <f>ROUND(RV_DATA!N93, 2)</f>
        <v>51.94</v>
      </c>
      <c r="H104" s="39">
        <f>ROUND(SUMIF(RV_DATA!AB91:AB99, 941240836, RV_DATA!O91:O99), 6)</f>
        <v>6.05</v>
      </c>
      <c r="AL104">
        <v>2</v>
      </c>
    </row>
    <row r="105" spans="1:38" ht="28.5" x14ac:dyDescent="0.2">
      <c r="A105" s="36" t="s">
        <v>713</v>
      </c>
      <c r="B105" s="37" t="s">
        <v>715</v>
      </c>
      <c r="C105" s="37" t="s">
        <v>700</v>
      </c>
      <c r="D105" s="38">
        <f>ROUND(SUMIF(RV_DATA!AB91:AB99, 1619992053, RV_DATA!I91:I99), 6)</f>
        <v>3.3999999999999998E-3</v>
      </c>
      <c r="E105" s="39">
        <f>ROUND(RV_DATA!K92, 2)</f>
        <v>91.76</v>
      </c>
      <c r="F105" s="39">
        <f>ROUND(SUMIF(RV_DATA!AB91:AB99, 1619992053, RV_DATA!M91:M99), 6)</f>
        <v>0.31</v>
      </c>
      <c r="G105" s="39">
        <f>ROUND(RV_DATA!N92, 2)</f>
        <v>1305.74</v>
      </c>
      <c r="H105" s="39">
        <f>ROUND(SUMIF(RV_DATA!AB91:AB99, 1619992053, RV_DATA!O91:O99), 6)</f>
        <v>4.41</v>
      </c>
      <c r="AL105">
        <v>2</v>
      </c>
    </row>
    <row r="106" spans="1:38" ht="15" x14ac:dyDescent="0.25">
      <c r="A106" s="40" t="s">
        <v>1276</v>
      </c>
      <c r="B106" s="40"/>
      <c r="C106" s="40"/>
      <c r="D106" s="40"/>
      <c r="E106" s="41">
        <f>SUMIF(AL104:AL105, 2, F104:F105)</f>
        <v>1.19</v>
      </c>
      <c r="F106" s="41"/>
      <c r="G106" s="41">
        <f>SUMIF(AL104:AL105, 2, H104:H105)</f>
        <v>10.46</v>
      </c>
      <c r="H106" s="40"/>
    </row>
    <row r="107" spans="1:38" ht="14.25" x14ac:dyDescent="0.2">
      <c r="A107" s="34" t="s">
        <v>1277</v>
      </c>
      <c r="B107" s="35"/>
      <c r="C107" s="35"/>
      <c r="D107" s="35"/>
      <c r="E107" s="35"/>
      <c r="F107" s="35"/>
      <c r="G107" s="35"/>
      <c r="H107" s="35"/>
    </row>
    <row r="108" spans="1:38" ht="14.25" x14ac:dyDescent="0.2">
      <c r="A108" s="36" t="s">
        <v>283</v>
      </c>
      <c r="B108" s="37" t="s">
        <v>284</v>
      </c>
      <c r="C108" s="37" t="s">
        <v>47</v>
      </c>
      <c r="D108" s="38">
        <f>ROUND(SUMIF(RV_DATA!AB91:AB99, 622869101, RV_DATA!I91:I99), 6)</f>
        <v>2</v>
      </c>
      <c r="E108" s="39">
        <f>ROUND(RV_DATA!K98, 2)</f>
        <v>12</v>
      </c>
      <c r="F108" s="39">
        <f>ROUND(SUMIF(RV_DATA!AB91:AB99, 622869101, RV_DATA!M91:M99), 6)</f>
        <v>24</v>
      </c>
      <c r="G108" s="39">
        <f>ROUND(RV_DATA!N98, 2)</f>
        <v>112.44</v>
      </c>
      <c r="H108" s="39">
        <f>ROUND(SUMIF(RV_DATA!AB91:AB99, 622869101, RV_DATA!O91:O99), 6)</f>
        <v>224.88</v>
      </c>
      <c r="AL108">
        <v>3</v>
      </c>
    </row>
    <row r="109" spans="1:38" ht="14.25" x14ac:dyDescent="0.2">
      <c r="A109" s="36" t="s">
        <v>736</v>
      </c>
      <c r="B109" s="37" t="s">
        <v>738</v>
      </c>
      <c r="C109" s="37" t="s">
        <v>170</v>
      </c>
      <c r="D109" s="38">
        <f>ROUND(SUMIF(RV_DATA!AB91:AB99, -131512131, RV_DATA!I91:I99), 6)</f>
        <v>2.0000000000000001E-4</v>
      </c>
      <c r="E109" s="39">
        <f>ROUND(RV_DATA!K91, 2)</f>
        <v>9424</v>
      </c>
      <c r="F109" s="39">
        <f>ROUND(SUMIF(RV_DATA!AB91:AB99, -131512131, RV_DATA!M91:M99), 6)</f>
        <v>1.88</v>
      </c>
      <c r="G109" s="39">
        <f>ROUND(RV_DATA!N91, 2)</f>
        <v>148428</v>
      </c>
      <c r="H109" s="39">
        <f>ROUND(SUMIF(RV_DATA!AB91:AB99, -131512131, RV_DATA!O91:O99), 6)</f>
        <v>29.61</v>
      </c>
      <c r="AL109">
        <v>3</v>
      </c>
    </row>
    <row r="110" spans="1:38" ht="14.25" x14ac:dyDescent="0.2">
      <c r="A110" s="36" t="s">
        <v>287</v>
      </c>
      <c r="B110" s="37" t="s">
        <v>288</v>
      </c>
      <c r="C110" s="37" t="s">
        <v>289</v>
      </c>
      <c r="D110" s="38">
        <f>ROUND(SUMIF(RV_DATA!AB91:AB99, -816947651, RV_DATA!I91:I99), 6)</f>
        <v>1</v>
      </c>
      <c r="E110" s="39">
        <f>ROUND(RV_DATA!K99, 2)</f>
        <v>33</v>
      </c>
      <c r="F110" s="39">
        <f>ROUND(SUMIF(RV_DATA!AB91:AB99, -816947651, RV_DATA!M91:M99), 6)</f>
        <v>33</v>
      </c>
      <c r="G110" s="39">
        <f>ROUND(RV_DATA!N99, 2)</f>
        <v>398.64</v>
      </c>
      <c r="H110" s="39">
        <f>ROUND(SUMIF(RV_DATA!AB91:AB99, -816947651, RV_DATA!O91:O99), 6)</f>
        <v>398.64</v>
      </c>
      <c r="AL110">
        <v>3</v>
      </c>
    </row>
    <row r="111" spans="1:38" ht="42.75" x14ac:dyDescent="0.2">
      <c r="A111" s="36" t="s">
        <v>210</v>
      </c>
      <c r="B111" s="37" t="s">
        <v>274</v>
      </c>
      <c r="C111" s="37" t="s">
        <v>170</v>
      </c>
      <c r="D111" s="38">
        <f>ROUND(SUMIF(RV_DATA!AB91:AB99, 1862524901, RV_DATA!I91:I99), 6)</f>
        <v>5.9249999999999997E-3</v>
      </c>
      <c r="E111" s="39">
        <f>ROUND(RV_DATA!K96, 2)</f>
        <v>11315</v>
      </c>
      <c r="F111" s="39">
        <f>ROUND(SUMIF(RV_DATA!AB91:AB99, 1862524901, RV_DATA!M91:M99), 6)</f>
        <v>67.040000000000006</v>
      </c>
      <c r="G111" s="39">
        <f>ROUND(RV_DATA!N96, 2)</f>
        <v>114394.65</v>
      </c>
      <c r="H111" s="39">
        <f>ROUND(SUMIF(RV_DATA!AB91:AB99, 1862524901, RV_DATA!O91:O99), 6)</f>
        <v>677.79</v>
      </c>
      <c r="AL111">
        <v>3</v>
      </c>
    </row>
    <row r="112" spans="1:38" ht="28.5" x14ac:dyDescent="0.2">
      <c r="A112" s="36" t="s">
        <v>270</v>
      </c>
      <c r="B112" s="37" t="s">
        <v>271</v>
      </c>
      <c r="C112" s="37" t="s">
        <v>201</v>
      </c>
      <c r="D112" s="38">
        <f>ROUND(SUMIF(RV_DATA!AB91:AB99, -936587172, RV_DATA!I91:I99), 6)</f>
        <v>1.8</v>
      </c>
      <c r="E112" s="39">
        <f>ROUND(RV_DATA!K95, 2)</f>
        <v>178.64</v>
      </c>
      <c r="F112" s="39">
        <f>ROUND(SUMIF(RV_DATA!AB91:AB99, -936587172, RV_DATA!M91:M99), 6)</f>
        <v>321.55</v>
      </c>
      <c r="G112" s="39">
        <f>ROUND(RV_DATA!N95, 2)</f>
        <v>1545.24</v>
      </c>
      <c r="H112" s="39">
        <f>ROUND(SUMIF(RV_DATA!AB91:AB99, -936587172, RV_DATA!O91:O99), 6)</f>
        <v>2781.42</v>
      </c>
      <c r="AL112">
        <v>3</v>
      </c>
    </row>
    <row r="113" spans="1:38" ht="14.25" x14ac:dyDescent="0.2">
      <c r="A113" s="36" t="s">
        <v>276</v>
      </c>
      <c r="B113" s="37" t="s">
        <v>277</v>
      </c>
      <c r="C113" s="37" t="s">
        <v>47</v>
      </c>
      <c r="D113" s="38">
        <f>ROUND(SUMIF(RV_DATA!AB91:AB99, -1646305074, RV_DATA!I91:I99), 6)</f>
        <v>6</v>
      </c>
      <c r="E113" s="39">
        <f>ROUND(RV_DATA!K97, 2)</f>
        <v>8.82</v>
      </c>
      <c r="F113" s="39">
        <f>ROUND(SUMIF(RV_DATA!AB91:AB99, -1646305074, RV_DATA!M91:M99), 6)</f>
        <v>52.92</v>
      </c>
      <c r="G113" s="39">
        <f>ROUND(RV_DATA!N97, 2)</f>
        <v>78.23</v>
      </c>
      <c r="H113" s="39">
        <f>ROUND(SUMIF(RV_DATA!AB91:AB99, -1646305074, RV_DATA!O91:O99), 6)</f>
        <v>469.4</v>
      </c>
      <c r="AL113">
        <v>3</v>
      </c>
    </row>
    <row r="114" spans="1:38" ht="15" x14ac:dyDescent="0.25">
      <c r="A114" s="40" t="s">
        <v>1278</v>
      </c>
      <c r="B114" s="40"/>
      <c r="C114" s="40"/>
      <c r="D114" s="40"/>
      <c r="E114" s="41">
        <f>SUMIF(AL108:AL113, 3, F108:F113)</f>
        <v>500.39000000000004</v>
      </c>
      <c r="F114" s="41"/>
      <c r="G114" s="41">
        <f>SUMIF(AL108:AL113, 3, H108:H113)</f>
        <v>4581.74</v>
      </c>
      <c r="H114" s="40"/>
    </row>
    <row r="115" spans="1:38" ht="16.5" x14ac:dyDescent="0.2">
      <c r="A115" s="24" t="str">
        <f>CONCATENATE("Раздел: ",IF(Source!G245&lt;&gt;"Новый раздел", Source!G245, ""))</f>
        <v>Раздел: Площадка под ТКО</v>
      </c>
      <c r="B115" s="25"/>
      <c r="C115" s="25"/>
      <c r="D115" s="25"/>
      <c r="E115" s="25"/>
      <c r="F115" s="25"/>
      <c r="G115" s="25"/>
      <c r="H115" s="25"/>
    </row>
    <row r="116" spans="1:38" ht="14.25" x14ac:dyDescent="0.2">
      <c r="A116" s="34" t="s">
        <v>1273</v>
      </c>
      <c r="B116" s="35"/>
      <c r="C116" s="35"/>
      <c r="D116" s="35"/>
      <c r="E116" s="35"/>
      <c r="F116" s="35"/>
      <c r="G116" s="35"/>
      <c r="H116" s="35"/>
    </row>
    <row r="117" spans="1:38" ht="28.5" x14ac:dyDescent="0.2">
      <c r="A117" s="36" t="s">
        <v>867</v>
      </c>
      <c r="B117" s="37" t="s">
        <v>868</v>
      </c>
      <c r="C117" s="37" t="s">
        <v>696</v>
      </c>
      <c r="D117" s="38">
        <f>ROUND(SUMIF(RV_DATA!AB101:AB171, -1764341061, RV_DATA!I101:I171), 6)</f>
        <v>1.478256</v>
      </c>
      <c r="E117" s="39">
        <f>ROUND(RV_DATA!K102, 2)</f>
        <v>7.01</v>
      </c>
      <c r="F117" s="39">
        <f>ROUND(SUMIF(RV_DATA!AB101:AB171, -1764341061, RV_DATA!M101:M171), 6)</f>
        <v>10.36</v>
      </c>
      <c r="G117" s="39">
        <f>ROUND(RV_DATA!N102, 2)</f>
        <v>7.01</v>
      </c>
      <c r="H117" s="39">
        <f>ROUND(SUMIF(RV_DATA!AB101:AB171, -1764341061, RV_DATA!O101:O171), 6)</f>
        <v>10.36</v>
      </c>
      <c r="AL117">
        <v>1</v>
      </c>
    </row>
    <row r="118" spans="1:38" ht="14.25" x14ac:dyDescent="0.2">
      <c r="A118" s="36" t="s">
        <v>701</v>
      </c>
      <c r="B118" s="37" t="s">
        <v>702</v>
      </c>
      <c r="C118" s="37" t="s">
        <v>696</v>
      </c>
      <c r="D118" s="38">
        <f>ROUND(SUMIF(RV_DATA!AB101:AB171, -1697901350, RV_DATA!I101:I171), 6)</f>
        <v>8.2248000000000001</v>
      </c>
      <c r="E118" s="39">
        <f>ROUND(RV_DATA!K101, 2)</f>
        <v>7.29</v>
      </c>
      <c r="F118" s="39">
        <f>ROUND(SUMIF(RV_DATA!AB101:AB171, -1697901350, RV_DATA!M101:M171), 6)</f>
        <v>59.96</v>
      </c>
      <c r="G118" s="39">
        <f>ROUND(RV_DATA!N101, 2)</f>
        <v>7.29</v>
      </c>
      <c r="H118" s="39">
        <f>ROUND(SUMIF(RV_DATA!AB101:AB171, -1697901350, RV_DATA!O101:O171), 6)</f>
        <v>59.96</v>
      </c>
      <c r="AL118">
        <v>1</v>
      </c>
    </row>
    <row r="119" spans="1:38" ht="28.5" x14ac:dyDescent="0.2">
      <c r="A119" s="36" t="s">
        <v>872</v>
      </c>
      <c r="B119" s="37" t="s">
        <v>873</v>
      </c>
      <c r="C119" s="37" t="s">
        <v>696</v>
      </c>
      <c r="D119" s="38">
        <f>ROUND(SUMIF(RV_DATA!AB101:AB171, -1278510661, RV_DATA!I101:I171), 6)</f>
        <v>0.32540400000000003</v>
      </c>
      <c r="E119" s="39">
        <f>ROUND(RV_DATA!K108, 2)</f>
        <v>7.49</v>
      </c>
      <c r="F119" s="39">
        <f>ROUND(SUMIF(RV_DATA!AB101:AB171, -1278510661, RV_DATA!M101:M171), 6)</f>
        <v>2.44</v>
      </c>
      <c r="G119" s="39">
        <f>ROUND(RV_DATA!N108, 2)</f>
        <v>7.49</v>
      </c>
      <c r="H119" s="39">
        <f>ROUND(SUMIF(RV_DATA!AB101:AB171, -1278510661, RV_DATA!O101:O171), 6)</f>
        <v>2.44</v>
      </c>
      <c r="AL119">
        <v>1</v>
      </c>
    </row>
    <row r="120" spans="1:38" ht="14.25" x14ac:dyDescent="0.2">
      <c r="A120" s="36" t="s">
        <v>703</v>
      </c>
      <c r="B120" s="37" t="s">
        <v>704</v>
      </c>
      <c r="C120" s="37" t="s">
        <v>696</v>
      </c>
      <c r="D120" s="38">
        <f>ROUND(SUMIF(RV_DATA!AB101:AB171, 1494462434, RV_DATA!I101:I171), 6)</f>
        <v>2.6429999999999998</v>
      </c>
      <c r="E120" s="39">
        <f>ROUND(RV_DATA!K121, 2)</f>
        <v>7.97</v>
      </c>
      <c r="F120" s="39">
        <f>ROUND(SUMIF(RV_DATA!AB101:AB171, 1494462434, RV_DATA!M101:M171), 6)</f>
        <v>21.06</v>
      </c>
      <c r="G120" s="39">
        <f>ROUND(RV_DATA!N121, 2)</f>
        <v>7.97</v>
      </c>
      <c r="H120" s="39">
        <f>ROUND(SUMIF(RV_DATA!AB101:AB171, 1494462434, RV_DATA!O101:O171), 6)</f>
        <v>21.06</v>
      </c>
      <c r="AL120">
        <v>1</v>
      </c>
    </row>
    <row r="121" spans="1:38" ht="28.5" x14ac:dyDescent="0.2">
      <c r="A121" s="36" t="s">
        <v>772</v>
      </c>
      <c r="B121" s="37" t="s">
        <v>773</v>
      </c>
      <c r="C121" s="37" t="s">
        <v>696</v>
      </c>
      <c r="D121" s="38">
        <f>ROUND(SUMIF(RV_DATA!AB101:AB171, -72625266, RV_DATA!I101:I171), 6)</f>
        <v>3.2272799999999999</v>
      </c>
      <c r="E121" s="39">
        <f>ROUND(RV_DATA!K142, 2)</f>
        <v>8.17</v>
      </c>
      <c r="F121" s="39">
        <f>ROUND(SUMIF(RV_DATA!AB101:AB171, -72625266, RV_DATA!M101:M171), 6)</f>
        <v>26.37</v>
      </c>
      <c r="G121" s="39">
        <f>ROUND(RV_DATA!N142, 2)</f>
        <v>8.17</v>
      </c>
      <c r="H121" s="39">
        <f>ROUND(SUMIF(RV_DATA!AB101:AB171, -72625266, RV_DATA!O101:O171), 6)</f>
        <v>26.37</v>
      </c>
      <c r="AL121">
        <v>1</v>
      </c>
    </row>
    <row r="122" spans="1:38" ht="28.5" x14ac:dyDescent="0.2">
      <c r="A122" s="36" t="s">
        <v>915</v>
      </c>
      <c r="B122" s="37" t="s">
        <v>916</v>
      </c>
      <c r="C122" s="37" t="s">
        <v>696</v>
      </c>
      <c r="D122" s="38">
        <f>ROUND(SUMIF(RV_DATA!AB101:AB171, -1857114646, RV_DATA!I101:I171), 6)</f>
        <v>14.2128</v>
      </c>
      <c r="E122" s="39">
        <f>ROUND(RV_DATA!K168, 2)</f>
        <v>8.48</v>
      </c>
      <c r="F122" s="39">
        <f>ROUND(SUMIF(RV_DATA!AB101:AB171, -1857114646, RV_DATA!M101:M171), 6)</f>
        <v>120.52</v>
      </c>
      <c r="G122" s="39">
        <f>ROUND(RV_DATA!N168, 2)</f>
        <v>8.48</v>
      </c>
      <c r="H122" s="39">
        <f>ROUND(SUMIF(RV_DATA!AB101:AB171, -1857114646, RV_DATA!O101:O171), 6)</f>
        <v>120.52</v>
      </c>
      <c r="AL122">
        <v>1</v>
      </c>
    </row>
    <row r="123" spans="1:38" ht="15" x14ac:dyDescent="0.25">
      <c r="A123" s="40" t="s">
        <v>1274</v>
      </c>
      <c r="B123" s="40"/>
      <c r="C123" s="40"/>
      <c r="D123" s="40"/>
      <c r="E123" s="41">
        <f>SUMIF(AL117:AL122, 1, F117:F122)</f>
        <v>240.70999999999998</v>
      </c>
      <c r="F123" s="41"/>
      <c r="G123" s="41">
        <f>SUMIF(AL117:AL122, 1, H117:H122)</f>
        <v>240.70999999999998</v>
      </c>
      <c r="H123" s="40"/>
    </row>
    <row r="124" spans="1:38" ht="14.25" x14ac:dyDescent="0.2">
      <c r="A124" s="34" t="s">
        <v>1275</v>
      </c>
      <c r="B124" s="35"/>
      <c r="C124" s="35"/>
      <c r="D124" s="35"/>
      <c r="E124" s="35"/>
      <c r="F124" s="35"/>
      <c r="G124" s="35"/>
      <c r="H124" s="35"/>
    </row>
    <row r="125" spans="1:38" ht="28.5" x14ac:dyDescent="0.2">
      <c r="A125" s="36" t="s">
        <v>886</v>
      </c>
      <c r="B125" s="37" t="s">
        <v>888</v>
      </c>
      <c r="C125" s="37" t="s">
        <v>700</v>
      </c>
      <c r="D125" s="38">
        <f>ROUND(SUMIF(RV_DATA!AB101:AB171, 925327548, RV_DATA!I101:I171), 6)</f>
        <v>0.49680000000000002</v>
      </c>
      <c r="E125" s="39">
        <f>ROUND(RV_DATA!K114, 2)</f>
        <v>103.49</v>
      </c>
      <c r="F125" s="39">
        <f>ROUND(SUMIF(RV_DATA!AB101:AB171, 925327548, RV_DATA!M101:M171), 6)</f>
        <v>51.41</v>
      </c>
      <c r="G125" s="39">
        <f>ROUND(RV_DATA!N114, 2)</f>
        <v>1247.05</v>
      </c>
      <c r="H125" s="39">
        <f>ROUND(SUMIF(RV_DATA!AB101:AB171, 925327548, RV_DATA!O101:O171), 6)</f>
        <v>619.49</v>
      </c>
      <c r="AL125">
        <v>2</v>
      </c>
    </row>
    <row r="126" spans="1:38" ht="42.75" x14ac:dyDescent="0.2">
      <c r="A126" s="36" t="s">
        <v>821</v>
      </c>
      <c r="B126" s="37" t="s">
        <v>823</v>
      </c>
      <c r="C126" s="37" t="s">
        <v>700</v>
      </c>
      <c r="D126" s="38">
        <f>ROUND(SUMIF(RV_DATA!AB101:AB171, -910470663, RV_DATA!I101:I171), 6)</f>
        <v>0.12525</v>
      </c>
      <c r="E126" s="39">
        <f>ROUND(RV_DATA!K141, 2)</f>
        <v>159.85</v>
      </c>
      <c r="F126" s="39">
        <f>ROUND(SUMIF(RV_DATA!AB101:AB171, -910470663, RV_DATA!M101:M171), 6)</f>
        <v>20.03</v>
      </c>
      <c r="G126" s="39">
        <f>ROUND(RV_DATA!N141, 2)</f>
        <v>1791.92</v>
      </c>
      <c r="H126" s="39">
        <f>ROUND(SUMIF(RV_DATA!AB101:AB171, -910470663, RV_DATA!O101:O171), 6)</f>
        <v>224.53</v>
      </c>
      <c r="AL126">
        <v>2</v>
      </c>
    </row>
    <row r="127" spans="1:38" ht="42.75" x14ac:dyDescent="0.2">
      <c r="A127" s="36" t="s">
        <v>721</v>
      </c>
      <c r="B127" s="37" t="s">
        <v>723</v>
      </c>
      <c r="C127" s="37" t="s">
        <v>700</v>
      </c>
      <c r="D127" s="38">
        <f>ROUND(SUMIF(RV_DATA!AB101:AB171, 887395808, RV_DATA!I101:I171), 6)</f>
        <v>5.2019999999999997E-2</v>
      </c>
      <c r="E127" s="39">
        <f>ROUND(RV_DATA!K140, 2)</f>
        <v>124.14</v>
      </c>
      <c r="F127" s="39">
        <f>ROUND(SUMIF(RV_DATA!AB101:AB171, 887395808, RV_DATA!M101:M171), 6)</f>
        <v>6.46</v>
      </c>
      <c r="G127" s="39">
        <f>ROUND(RV_DATA!N140, 2)</f>
        <v>1453.68</v>
      </c>
      <c r="H127" s="39">
        <f>ROUND(SUMIF(RV_DATA!AB101:AB171, 887395808, RV_DATA!O101:O171), 6)</f>
        <v>75.650000000000006</v>
      </c>
      <c r="AL127">
        <v>2</v>
      </c>
    </row>
    <row r="128" spans="1:38" ht="42.75" x14ac:dyDescent="0.2">
      <c r="A128" s="36" t="s">
        <v>917</v>
      </c>
      <c r="B128" s="37" t="s">
        <v>919</v>
      </c>
      <c r="C128" s="37" t="s">
        <v>700</v>
      </c>
      <c r="D128" s="38">
        <f>ROUND(SUMIF(RV_DATA!AB101:AB171, -1067913359, RV_DATA!I101:I171), 6)</f>
        <v>0.78300000000000003</v>
      </c>
      <c r="E128" s="39">
        <f>ROUND(RV_DATA!K165, 2)</f>
        <v>144.47</v>
      </c>
      <c r="F128" s="39">
        <f>ROUND(SUMIF(RV_DATA!AB101:AB171, -1067913359, RV_DATA!M101:M171), 6)</f>
        <v>113.12</v>
      </c>
      <c r="G128" s="39">
        <f>ROUND(RV_DATA!N165, 2)</f>
        <v>1527.05</v>
      </c>
      <c r="H128" s="39">
        <f>ROUND(SUMIF(RV_DATA!AB101:AB171, -1067913359, RV_DATA!O101:O171), 6)</f>
        <v>1195.68</v>
      </c>
      <c r="AL128">
        <v>2</v>
      </c>
    </row>
    <row r="129" spans="1:38" ht="28.5" x14ac:dyDescent="0.2">
      <c r="A129" s="36" t="s">
        <v>909</v>
      </c>
      <c r="B129" s="37" t="s">
        <v>911</v>
      </c>
      <c r="C129" s="37" t="s">
        <v>700</v>
      </c>
      <c r="D129" s="38">
        <f>ROUND(SUMIF(RV_DATA!AB101:AB171, 1565779480, RV_DATA!I101:I171), 6)</f>
        <v>0.18360000000000001</v>
      </c>
      <c r="E129" s="39">
        <f>ROUND(RV_DATA!K139, 2)</f>
        <v>142.33000000000001</v>
      </c>
      <c r="F129" s="39">
        <f>ROUND(SUMIF(RV_DATA!AB101:AB171, 1565779480, RV_DATA!M101:M171), 6)</f>
        <v>26.13</v>
      </c>
      <c r="G129" s="39">
        <f>ROUND(RV_DATA!N139, 2)</f>
        <v>2146.34</v>
      </c>
      <c r="H129" s="39">
        <f>ROUND(SUMIF(RV_DATA!AB101:AB171, 1565779480, RV_DATA!O101:O171), 6)</f>
        <v>394.04</v>
      </c>
      <c r="AL129">
        <v>2</v>
      </c>
    </row>
    <row r="130" spans="1:38" ht="28.5" x14ac:dyDescent="0.2">
      <c r="A130" s="36" t="s">
        <v>920</v>
      </c>
      <c r="B130" s="37" t="s">
        <v>922</v>
      </c>
      <c r="C130" s="37" t="s">
        <v>700</v>
      </c>
      <c r="D130" s="38">
        <f>ROUND(SUMIF(RV_DATA!AB101:AB171, -534232308, RV_DATA!I101:I171), 6)</f>
        <v>0.66015000000000001</v>
      </c>
      <c r="E130" s="39">
        <f>ROUND(RV_DATA!K164, 2)</f>
        <v>187.45</v>
      </c>
      <c r="F130" s="39">
        <f>ROUND(SUMIF(RV_DATA!AB101:AB171, -534232308, RV_DATA!M101:M171), 6)</f>
        <v>123.75</v>
      </c>
      <c r="G130" s="39">
        <f>ROUND(RV_DATA!N164, 2)</f>
        <v>2397.4899999999998</v>
      </c>
      <c r="H130" s="39">
        <f>ROUND(SUMIF(RV_DATA!AB101:AB171, -534232308, RV_DATA!O101:O171), 6)</f>
        <v>1582.76</v>
      </c>
      <c r="AL130">
        <v>2</v>
      </c>
    </row>
    <row r="131" spans="1:38" ht="28.5" x14ac:dyDescent="0.2">
      <c r="A131" s="36" t="s">
        <v>923</v>
      </c>
      <c r="B131" s="37" t="s">
        <v>925</v>
      </c>
      <c r="C131" s="37" t="s">
        <v>700</v>
      </c>
      <c r="D131" s="38">
        <f>ROUND(SUMIF(RV_DATA!AB101:AB171, 784150054, RV_DATA!I101:I171), 6)</f>
        <v>0.3024</v>
      </c>
      <c r="E131" s="39">
        <f>ROUND(RV_DATA!K163, 2)</f>
        <v>311.41000000000003</v>
      </c>
      <c r="F131" s="39">
        <f>ROUND(SUMIF(RV_DATA!AB101:AB171, 784150054, RV_DATA!M101:M171), 6)</f>
        <v>94.17</v>
      </c>
      <c r="G131" s="39">
        <f>ROUND(RV_DATA!N163, 2)</f>
        <v>3366.34</v>
      </c>
      <c r="H131" s="39">
        <f>ROUND(SUMIF(RV_DATA!AB101:AB171, 784150054, RV_DATA!O101:O171), 6)</f>
        <v>1017.98</v>
      </c>
      <c r="AL131">
        <v>2</v>
      </c>
    </row>
    <row r="132" spans="1:38" ht="14.25" x14ac:dyDescent="0.2">
      <c r="A132" s="36" t="s">
        <v>774</v>
      </c>
      <c r="B132" s="37" t="s">
        <v>776</v>
      </c>
      <c r="C132" s="37" t="s">
        <v>700</v>
      </c>
      <c r="D132" s="38">
        <f>ROUND(SUMIF(RV_DATA!AB101:AB171, -771525458, RV_DATA!I101:I171), 6)</f>
        <v>9.8531999999999995E-2</v>
      </c>
      <c r="E132" s="39">
        <f>ROUND(RV_DATA!K107, 2)</f>
        <v>87.24</v>
      </c>
      <c r="F132" s="39">
        <f>ROUND(SUMIF(RV_DATA!AB101:AB171, -771525458, RV_DATA!M101:M171), 6)</f>
        <v>8.6</v>
      </c>
      <c r="G132" s="39">
        <f>ROUND(RV_DATA!N107, 2)</f>
        <v>2230.73</v>
      </c>
      <c r="H132" s="39">
        <f>ROUND(SUMIF(RV_DATA!AB101:AB171, -771525458, RV_DATA!O101:O171), 6)</f>
        <v>219.9</v>
      </c>
      <c r="AL132">
        <v>2</v>
      </c>
    </row>
    <row r="133" spans="1:38" ht="28.5" x14ac:dyDescent="0.2">
      <c r="A133" s="36" t="s">
        <v>827</v>
      </c>
      <c r="B133" s="37" t="s">
        <v>829</v>
      </c>
      <c r="C133" s="37" t="s">
        <v>700</v>
      </c>
      <c r="D133" s="38">
        <f>ROUND(SUMIF(RV_DATA!AB101:AB171, -1264283530, RV_DATA!I101:I171), 6)</f>
        <v>0.13364999999999999</v>
      </c>
      <c r="E133" s="39">
        <f>ROUND(RV_DATA!K162, 2)</f>
        <v>1.52</v>
      </c>
      <c r="F133" s="39">
        <f>ROUND(SUMIF(RV_DATA!AB101:AB171, -1264283530, RV_DATA!M101:M171), 6)</f>
        <v>0.2</v>
      </c>
      <c r="G133" s="39">
        <f>ROUND(RV_DATA!N162, 2)</f>
        <v>8.09</v>
      </c>
      <c r="H133" s="39">
        <f>ROUND(SUMIF(RV_DATA!AB101:AB171, -1264283530, RV_DATA!O101:O171), 6)</f>
        <v>1.06</v>
      </c>
      <c r="AL133">
        <v>2</v>
      </c>
    </row>
    <row r="134" spans="1:38" ht="14.25" x14ac:dyDescent="0.2">
      <c r="A134" s="36" t="s">
        <v>900</v>
      </c>
      <c r="B134" s="37" t="s">
        <v>902</v>
      </c>
      <c r="C134" s="37" t="s">
        <v>700</v>
      </c>
      <c r="D134" s="38">
        <f>ROUND(SUMIF(RV_DATA!AB101:AB171, 1455756329, RV_DATA!I101:I171), 6)</f>
        <v>1.6919999999999999</v>
      </c>
      <c r="E134" s="39">
        <f>ROUND(RV_DATA!K120, 2)</f>
        <v>21.2</v>
      </c>
      <c r="F134" s="39">
        <f>ROUND(SUMIF(RV_DATA!AB101:AB171, 1455756329, RV_DATA!M101:M171), 6)</f>
        <v>35.869999999999997</v>
      </c>
      <c r="G134" s="39">
        <f>ROUND(RV_DATA!N120, 2)</f>
        <v>419.97</v>
      </c>
      <c r="H134" s="39">
        <f>ROUND(SUMIF(RV_DATA!AB101:AB171, 1455756329, RV_DATA!O101:O171), 6)</f>
        <v>710.58</v>
      </c>
      <c r="AL134">
        <v>2</v>
      </c>
    </row>
    <row r="135" spans="1:38" ht="14.25" x14ac:dyDescent="0.2">
      <c r="A135" s="36" t="s">
        <v>777</v>
      </c>
      <c r="B135" s="37" t="s">
        <v>779</v>
      </c>
      <c r="C135" s="37" t="s">
        <v>700</v>
      </c>
      <c r="D135" s="38">
        <f>ROUND(SUMIF(RV_DATA!AB101:AB171, 1695468324, RV_DATA!I101:I171), 6)</f>
        <v>0.52805999999999997</v>
      </c>
      <c r="E135" s="39">
        <f>ROUND(RV_DATA!K138, 2)</f>
        <v>1.43</v>
      </c>
      <c r="F135" s="39">
        <f>ROUND(SUMIF(RV_DATA!AB101:AB171, 1695468324, RV_DATA!M101:M171), 6)</f>
        <v>0.76</v>
      </c>
      <c r="G135" s="39">
        <f>ROUND(RV_DATA!N138, 2)</f>
        <v>9.35</v>
      </c>
      <c r="H135" s="39">
        <f>ROUND(SUMIF(RV_DATA!AB101:AB171, 1695468324, RV_DATA!O101:O171), 6)</f>
        <v>4.97</v>
      </c>
      <c r="AL135">
        <v>2</v>
      </c>
    </row>
    <row r="136" spans="1:38" ht="42.75" x14ac:dyDescent="0.2">
      <c r="A136" s="36" t="s">
        <v>833</v>
      </c>
      <c r="B136" s="37" t="s">
        <v>835</v>
      </c>
      <c r="C136" s="37" t="s">
        <v>700</v>
      </c>
      <c r="D136" s="38">
        <f>ROUND(SUMIF(RV_DATA!AB101:AB171, 642182244, RV_DATA!I101:I171), 6)</f>
        <v>2.9399999999999999E-2</v>
      </c>
      <c r="E136" s="39">
        <f>ROUND(RV_DATA!K137, 2)</f>
        <v>9.6999999999999993</v>
      </c>
      <c r="F136" s="39">
        <f>ROUND(SUMIF(RV_DATA!AB101:AB171, 642182244, RV_DATA!M101:M171), 6)</f>
        <v>0.28999999999999998</v>
      </c>
      <c r="G136" s="39">
        <f>ROUND(RV_DATA!N137, 2)</f>
        <v>116.79</v>
      </c>
      <c r="H136" s="39">
        <f>ROUND(SUMIF(RV_DATA!AB101:AB171, 642182244, RV_DATA!O101:O171), 6)</f>
        <v>3.49</v>
      </c>
      <c r="AL136">
        <v>2</v>
      </c>
    </row>
    <row r="137" spans="1:38" ht="57" x14ac:dyDescent="0.2">
      <c r="A137" s="36" t="s">
        <v>836</v>
      </c>
      <c r="B137" s="37" t="s">
        <v>838</v>
      </c>
      <c r="C137" s="37" t="s">
        <v>700</v>
      </c>
      <c r="D137" s="38">
        <f>ROUND(SUMIF(RV_DATA!AB101:AB171, -1084734523, RV_DATA!I101:I171), 6)</f>
        <v>2.7000000000000001E-3</v>
      </c>
      <c r="E137" s="39">
        <f>ROUND(RV_DATA!K159, 2)</f>
        <v>6.4</v>
      </c>
      <c r="F137" s="39">
        <f>ROUND(SUMIF(RV_DATA!AB101:AB171, -1084734523, RV_DATA!M101:M171), 6)</f>
        <v>0.02</v>
      </c>
      <c r="G137" s="39">
        <f>ROUND(RV_DATA!N159, 2)</f>
        <v>74.94</v>
      </c>
      <c r="H137" s="39">
        <f>ROUND(SUMIF(RV_DATA!AB101:AB171, -1084734523, RV_DATA!O101:O171), 6)</f>
        <v>0.23</v>
      </c>
      <c r="AL137">
        <v>2</v>
      </c>
    </row>
    <row r="138" spans="1:38" ht="14.25" x14ac:dyDescent="0.2">
      <c r="A138" s="36" t="s">
        <v>889</v>
      </c>
      <c r="B138" s="37" t="s">
        <v>891</v>
      </c>
      <c r="C138" s="37" t="s">
        <v>700</v>
      </c>
      <c r="D138" s="38">
        <f>ROUND(SUMIF(RV_DATA!AB101:AB171, -2061922166, RV_DATA!I101:I171), 6)</f>
        <v>1.3248</v>
      </c>
      <c r="E138" s="39">
        <f>ROUND(RV_DATA!K113, 2)</f>
        <v>0.66</v>
      </c>
      <c r="F138" s="39">
        <f>ROUND(SUMIF(RV_DATA!AB101:AB171, -2061922166, RV_DATA!M101:M171), 6)</f>
        <v>0.87</v>
      </c>
      <c r="G138" s="39">
        <f>ROUND(RV_DATA!N113, 2)</f>
        <v>6.26</v>
      </c>
      <c r="H138" s="39">
        <f>ROUND(SUMIF(RV_DATA!AB101:AB171, -2061922166, RV_DATA!O101:O171), 6)</f>
        <v>8.25</v>
      </c>
      <c r="AL138">
        <v>2</v>
      </c>
    </row>
    <row r="139" spans="1:38" ht="28.5" x14ac:dyDescent="0.2">
      <c r="A139" s="36" t="s">
        <v>874</v>
      </c>
      <c r="B139" s="37" t="s">
        <v>876</v>
      </c>
      <c r="C139" s="37" t="s">
        <v>700</v>
      </c>
      <c r="D139" s="38">
        <f>ROUND(SUMIF(RV_DATA!AB101:AB171, 151427480, RV_DATA!I101:I171), 6)</f>
        <v>3.9951E-2</v>
      </c>
      <c r="E139" s="39">
        <f>ROUND(RV_DATA!K106, 2)</f>
        <v>155.09</v>
      </c>
      <c r="F139" s="39">
        <f>ROUND(SUMIF(RV_DATA!AB101:AB171, 151427480, RV_DATA!M101:M171), 6)</f>
        <v>6.2</v>
      </c>
      <c r="G139" s="39">
        <f>ROUND(RV_DATA!N106, 2)</f>
        <v>2357.37</v>
      </c>
      <c r="H139" s="39">
        <f>ROUND(SUMIF(RV_DATA!AB101:AB171, 151427480, RV_DATA!O101:O171), 6)</f>
        <v>94.24</v>
      </c>
      <c r="AL139">
        <v>2</v>
      </c>
    </row>
    <row r="140" spans="1:38" ht="14.25" x14ac:dyDescent="0.2">
      <c r="A140" s="36" t="s">
        <v>877</v>
      </c>
      <c r="B140" s="37" t="s">
        <v>879</v>
      </c>
      <c r="C140" s="37" t="s">
        <v>700</v>
      </c>
      <c r="D140" s="38">
        <f>ROUND(SUMIF(RV_DATA!AB101:AB171, 468207442, RV_DATA!I101:I171), 6)</f>
        <v>0.14655599999999999</v>
      </c>
      <c r="E140" s="39">
        <f>ROUND(RV_DATA!K105, 2)</f>
        <v>210.32</v>
      </c>
      <c r="F140" s="39">
        <f>ROUND(SUMIF(RV_DATA!AB101:AB171, 468207442, RV_DATA!M101:M171), 6)</f>
        <v>30.82</v>
      </c>
      <c r="G140" s="39">
        <f>ROUND(RV_DATA!N105, 2)</f>
        <v>3076.98</v>
      </c>
      <c r="H140" s="39">
        <f>ROUND(SUMIF(RV_DATA!AB101:AB171, 468207442, RV_DATA!O101:O171), 6)</f>
        <v>450.9</v>
      </c>
      <c r="AL140">
        <v>2</v>
      </c>
    </row>
    <row r="141" spans="1:38" ht="14.25" x14ac:dyDescent="0.2">
      <c r="A141" s="36" t="s">
        <v>880</v>
      </c>
      <c r="B141" s="37" t="s">
        <v>882</v>
      </c>
      <c r="C141" s="37" t="s">
        <v>700</v>
      </c>
      <c r="D141" s="38">
        <f>ROUND(SUMIF(RV_DATA!AB101:AB171, -557055019, RV_DATA!I101:I171), 6)</f>
        <v>2.1527999999999999E-2</v>
      </c>
      <c r="E141" s="39">
        <f>ROUND(RV_DATA!K104, 2)</f>
        <v>119.25</v>
      </c>
      <c r="F141" s="39">
        <f>ROUND(SUMIF(RV_DATA!AB101:AB171, -557055019, RV_DATA!M101:M171), 6)</f>
        <v>2.57</v>
      </c>
      <c r="G141" s="39">
        <f>ROUND(RV_DATA!N104, 2)</f>
        <v>1562.18</v>
      </c>
      <c r="H141" s="39">
        <f>ROUND(SUMIF(RV_DATA!AB101:AB171, -557055019, RV_DATA!O101:O171), 6)</f>
        <v>33.67</v>
      </c>
      <c r="AL141">
        <v>2</v>
      </c>
    </row>
    <row r="142" spans="1:38" ht="14.25" x14ac:dyDescent="0.2">
      <c r="A142" s="36" t="s">
        <v>797</v>
      </c>
      <c r="B142" s="37" t="s">
        <v>799</v>
      </c>
      <c r="C142" s="37" t="s">
        <v>700</v>
      </c>
      <c r="D142" s="38">
        <f>ROUND(SUMIF(RV_DATA!AB101:AB171, 70027163, RV_DATA!I101:I171), 6)</f>
        <v>0.32534999999999997</v>
      </c>
      <c r="E142" s="39">
        <f>ROUND(RV_DATA!K158, 2)</f>
        <v>2.15</v>
      </c>
      <c r="F142" s="39">
        <f>ROUND(SUMIF(RV_DATA!AB101:AB171, 70027163, RV_DATA!M101:M171), 6)</f>
        <v>0.7</v>
      </c>
      <c r="G142" s="39">
        <f>ROUND(RV_DATA!N158, 2)</f>
        <v>12.13</v>
      </c>
      <c r="H142" s="39">
        <f>ROUND(SUMIF(RV_DATA!AB101:AB171, 70027163, RV_DATA!O101:O171), 6)</f>
        <v>3.95</v>
      </c>
      <c r="AL142">
        <v>2</v>
      </c>
    </row>
    <row r="143" spans="1:38" ht="42.75" x14ac:dyDescent="0.2">
      <c r="A143" s="36" t="s">
        <v>903</v>
      </c>
      <c r="B143" s="37" t="s">
        <v>905</v>
      </c>
      <c r="C143" s="37" t="s">
        <v>700</v>
      </c>
      <c r="D143" s="38">
        <f>ROUND(SUMIF(RV_DATA!AB101:AB171, 1101669221, RV_DATA!I101:I171), 6)</f>
        <v>0.94979999999999998</v>
      </c>
      <c r="E143" s="39">
        <f>ROUND(RV_DATA!K119, 2)</f>
        <v>28.88</v>
      </c>
      <c r="F143" s="39">
        <f>ROUND(SUMIF(RV_DATA!AB101:AB171, 1101669221, RV_DATA!M101:M171), 6)</f>
        <v>27.43</v>
      </c>
      <c r="G143" s="39">
        <f>ROUND(RV_DATA!N119, 2)</f>
        <v>106.28</v>
      </c>
      <c r="H143" s="39">
        <f>ROUND(SUMIF(RV_DATA!AB101:AB171, 1101669221, RV_DATA!O101:O171), 6)</f>
        <v>100.94</v>
      </c>
      <c r="AL143">
        <v>2</v>
      </c>
    </row>
    <row r="144" spans="1:38" ht="14.25" x14ac:dyDescent="0.2">
      <c r="A144" s="36" t="s">
        <v>906</v>
      </c>
      <c r="B144" s="37" t="s">
        <v>908</v>
      </c>
      <c r="C144" s="37" t="s">
        <v>700</v>
      </c>
      <c r="D144" s="38">
        <f>ROUND(SUMIF(RV_DATA!AB101:AB171, 185246669, RV_DATA!I101:I171), 6)</f>
        <v>0.74399999999999999</v>
      </c>
      <c r="E144" s="39">
        <f>ROUND(RV_DATA!K118, 2)</f>
        <v>1.1000000000000001</v>
      </c>
      <c r="F144" s="39">
        <f>ROUND(SUMIF(RV_DATA!AB101:AB171, 185246669, RV_DATA!M101:M171), 6)</f>
        <v>0.82</v>
      </c>
      <c r="G144" s="39">
        <f>ROUND(RV_DATA!N118, 2)</f>
        <v>7.23</v>
      </c>
      <c r="H144" s="39">
        <f>ROUND(SUMIF(RV_DATA!AB101:AB171, 185246669, RV_DATA!O101:O171), 6)</f>
        <v>5.39</v>
      </c>
      <c r="AL144">
        <v>2</v>
      </c>
    </row>
    <row r="145" spans="1:38" ht="28.5" x14ac:dyDescent="0.2">
      <c r="A145" s="36" t="s">
        <v>713</v>
      </c>
      <c r="B145" s="37" t="s">
        <v>715</v>
      </c>
      <c r="C145" s="37" t="s">
        <v>700</v>
      </c>
      <c r="D145" s="38">
        <f>ROUND(SUMIF(RV_DATA!AB101:AB171, 1619992053, RV_DATA!I101:I171), 6)</f>
        <v>0.17557800000000001</v>
      </c>
      <c r="E145" s="39">
        <f>ROUND(RV_DATA!K112, 2)</f>
        <v>91.76</v>
      </c>
      <c r="F145" s="39">
        <f>ROUND(SUMIF(RV_DATA!AB101:AB171, 1619992053, RV_DATA!M101:M171), 6)</f>
        <v>16.11</v>
      </c>
      <c r="G145" s="39">
        <f>ROUND(RV_DATA!N112, 2)</f>
        <v>1305.74</v>
      </c>
      <c r="H145" s="39">
        <f>ROUND(SUMIF(RV_DATA!AB101:AB171, 1619992053, RV_DATA!O101:O171), 6)</f>
        <v>229.24</v>
      </c>
      <c r="AL145">
        <v>2</v>
      </c>
    </row>
    <row r="146" spans="1:38" ht="15" x14ac:dyDescent="0.25">
      <c r="A146" s="40" t="s">
        <v>1276</v>
      </c>
      <c r="B146" s="40"/>
      <c r="C146" s="40"/>
      <c r="D146" s="40"/>
      <c r="E146" s="41">
        <f>SUMIF(AL125:AL145, 2, F125:F145)</f>
        <v>566.33000000000015</v>
      </c>
      <c r="F146" s="41"/>
      <c r="G146" s="41">
        <f>SUMIF(AL125:AL145, 2, H125:H145)</f>
        <v>6976.9399999999978</v>
      </c>
      <c r="H146" s="40"/>
    </row>
    <row r="147" spans="1:38" ht="14.25" x14ac:dyDescent="0.2">
      <c r="A147" s="34" t="s">
        <v>1277</v>
      </c>
      <c r="B147" s="35"/>
      <c r="C147" s="35"/>
      <c r="D147" s="35"/>
      <c r="E147" s="35"/>
      <c r="F147" s="35"/>
      <c r="G147" s="35"/>
      <c r="H147" s="35"/>
    </row>
    <row r="148" spans="1:38" ht="14.25" x14ac:dyDescent="0.2">
      <c r="A148" s="36" t="s">
        <v>839</v>
      </c>
      <c r="B148" s="37" t="s">
        <v>841</v>
      </c>
      <c r="C148" s="37" t="s">
        <v>170</v>
      </c>
      <c r="D148" s="38">
        <f>ROUND(SUMIF(RV_DATA!AB101:AB171, 1686556190, RV_DATA!I101:I171), 6)</f>
        <v>2.5000000000000001E-5</v>
      </c>
      <c r="E148" s="39">
        <f>ROUND(RV_DATA!K135, 2)</f>
        <v>37900</v>
      </c>
      <c r="F148" s="39">
        <f>ROUND(SUMIF(RV_DATA!AB101:AB171, 1686556190, RV_DATA!M101:M171), 6)</f>
        <v>0.96</v>
      </c>
      <c r="G148" s="39">
        <f>ROUND(RV_DATA!N135, 2)</f>
        <v>231948</v>
      </c>
      <c r="H148" s="39">
        <f>ROUND(SUMIF(RV_DATA!AB101:AB171, 1686556190, RV_DATA!O101:O171), 6)</f>
        <v>5.87</v>
      </c>
      <c r="AL148">
        <v>3</v>
      </c>
    </row>
    <row r="149" spans="1:38" ht="14.25" x14ac:dyDescent="0.2">
      <c r="A149" s="36" t="s">
        <v>187</v>
      </c>
      <c r="B149" s="37" t="s">
        <v>188</v>
      </c>
      <c r="C149" s="37" t="s">
        <v>52</v>
      </c>
      <c r="D149" s="38">
        <f>ROUND(SUMIF(RV_DATA!AB101:AB171, -1112411388, RV_DATA!I101:I171), 6)</f>
        <v>0.46350000000000002</v>
      </c>
      <c r="E149" s="39">
        <f>ROUND(RV_DATA!K134, 2)</f>
        <v>6.22</v>
      </c>
      <c r="F149" s="39">
        <f>ROUND(SUMIF(RV_DATA!AB101:AB171, -1112411388, RV_DATA!M101:M171), 6)</f>
        <v>2.88</v>
      </c>
      <c r="G149" s="39">
        <f>ROUND(RV_DATA!N134, 2)</f>
        <v>118.62</v>
      </c>
      <c r="H149" s="39">
        <f>ROUND(SUMIF(RV_DATA!AB101:AB171, -1112411388, RV_DATA!O101:O171), 6)</f>
        <v>54.93</v>
      </c>
      <c r="AL149">
        <v>3</v>
      </c>
    </row>
    <row r="150" spans="1:38" ht="28.5" x14ac:dyDescent="0.2">
      <c r="A150" s="36" t="s">
        <v>842</v>
      </c>
      <c r="B150" s="37" t="s">
        <v>844</v>
      </c>
      <c r="C150" s="37" t="s">
        <v>170</v>
      </c>
      <c r="D150" s="38">
        <f>ROUND(SUMIF(RV_DATA!AB101:AB171, -456759606, RV_DATA!I101:I171), 6)</f>
        <v>6.9999999999999999E-6</v>
      </c>
      <c r="E150" s="39">
        <f>ROUND(RV_DATA!K133, 2)</f>
        <v>4455</v>
      </c>
      <c r="F150" s="39">
        <f>ROUND(SUMIF(RV_DATA!AB101:AB171, -456759606, RV_DATA!M101:M171), 6)</f>
        <v>0.03</v>
      </c>
      <c r="G150" s="39">
        <f>ROUND(RV_DATA!N133, 2)</f>
        <v>31452.3</v>
      </c>
      <c r="H150" s="39">
        <f>ROUND(SUMIF(RV_DATA!AB101:AB171, -456759606, RV_DATA!O101:O171), 6)</f>
        <v>0.21</v>
      </c>
      <c r="AL150">
        <v>3</v>
      </c>
    </row>
    <row r="151" spans="1:38" ht="14.25" x14ac:dyDescent="0.2">
      <c r="A151" s="36" t="s">
        <v>845</v>
      </c>
      <c r="B151" s="37" t="s">
        <v>847</v>
      </c>
      <c r="C151" s="37" t="s">
        <v>170</v>
      </c>
      <c r="D151" s="38">
        <f>ROUND(SUMIF(RV_DATA!AB101:AB171, -376595282, RV_DATA!I101:I171), 6)</f>
        <v>5.0000000000000001E-4</v>
      </c>
      <c r="E151" s="39">
        <f>ROUND(RV_DATA!K132, 2)</f>
        <v>5191</v>
      </c>
      <c r="F151" s="39">
        <f>ROUND(SUMIF(RV_DATA!AB101:AB171, -376595282, RV_DATA!M101:M171), 6)</f>
        <v>2.59</v>
      </c>
      <c r="G151" s="39">
        <f>ROUND(RV_DATA!N132, 2)</f>
        <v>72674</v>
      </c>
      <c r="H151" s="39">
        <f>ROUND(SUMIF(RV_DATA!AB101:AB171, -376595282, RV_DATA!O101:O171), 6)</f>
        <v>36.26</v>
      </c>
      <c r="AL151">
        <v>3</v>
      </c>
    </row>
    <row r="152" spans="1:38" ht="14.25" x14ac:dyDescent="0.2">
      <c r="A152" s="36" t="s">
        <v>912</v>
      </c>
      <c r="B152" s="37" t="s">
        <v>914</v>
      </c>
      <c r="C152" s="37" t="s">
        <v>170</v>
      </c>
      <c r="D152" s="38">
        <f>ROUND(SUMIF(RV_DATA!AB101:AB171, 1673140179, RV_DATA!I101:I171), 6)</f>
        <v>4.8099999999999998E-4</v>
      </c>
      <c r="E152" s="39">
        <f>ROUND(RV_DATA!K131, 2)</f>
        <v>9750</v>
      </c>
      <c r="F152" s="39">
        <f>ROUND(SUMIF(RV_DATA!AB101:AB171, 1673140179, RV_DATA!M101:M171), 6)</f>
        <v>4.7</v>
      </c>
      <c r="G152" s="39">
        <f>ROUND(RV_DATA!N131, 2)</f>
        <v>119730</v>
      </c>
      <c r="H152" s="39">
        <f>ROUND(SUMIF(RV_DATA!AB101:AB171, 1673140179, RV_DATA!O101:O171), 6)</f>
        <v>57.71</v>
      </c>
      <c r="AL152">
        <v>3</v>
      </c>
    </row>
    <row r="153" spans="1:38" ht="14.25" x14ac:dyDescent="0.2">
      <c r="A153" s="36" t="s">
        <v>892</v>
      </c>
      <c r="B153" s="37" t="s">
        <v>894</v>
      </c>
      <c r="C153" s="37" t="s">
        <v>201</v>
      </c>
      <c r="D153" s="38">
        <f>ROUND(SUMIF(RV_DATA!AB101:AB171, -1601764222, RV_DATA!I101:I171), 6)</f>
        <v>6.9</v>
      </c>
      <c r="E153" s="39">
        <f>ROUND(RV_DATA!K111, 2)</f>
        <v>10.199999999999999</v>
      </c>
      <c r="F153" s="39">
        <f>ROUND(SUMIF(RV_DATA!AB101:AB171, -1601764222, RV_DATA!M101:M171), 6)</f>
        <v>70.38</v>
      </c>
      <c r="G153" s="39">
        <f>ROUND(RV_DATA!N111, 2)</f>
        <v>52.22</v>
      </c>
      <c r="H153" s="39">
        <f>ROUND(SUMIF(RV_DATA!AB101:AB171, -1601764222, RV_DATA!O101:O171), 6)</f>
        <v>360.35</v>
      </c>
      <c r="AL153">
        <v>3</v>
      </c>
    </row>
    <row r="154" spans="1:38" ht="28.5" x14ac:dyDescent="0.2">
      <c r="A154" s="36" t="s">
        <v>252</v>
      </c>
      <c r="B154" s="37" t="s">
        <v>253</v>
      </c>
      <c r="C154" s="37" t="s">
        <v>170</v>
      </c>
      <c r="D154" s="38">
        <f>ROUND(SUMIF(RV_DATA!AB101:AB171, 328055112, RV_DATA!I101:I171), 6)</f>
        <v>2.016E-3</v>
      </c>
      <c r="E154" s="39">
        <f>ROUND(RV_DATA!K130, 2)</f>
        <v>9040.01</v>
      </c>
      <c r="F154" s="39">
        <f>ROUND(SUMIF(RV_DATA!AB101:AB171, 328055112, RV_DATA!M101:M171), 6)</f>
        <v>18.22</v>
      </c>
      <c r="G154" s="39">
        <f>ROUND(RV_DATA!N130, 2)</f>
        <v>208824.23</v>
      </c>
      <c r="H154" s="39">
        <f>ROUND(SUMIF(RV_DATA!AB101:AB171, 328055112, RV_DATA!O101:O171), 6)</f>
        <v>420.88</v>
      </c>
      <c r="AL154">
        <v>3</v>
      </c>
    </row>
    <row r="155" spans="1:38" ht="14.25" x14ac:dyDescent="0.2">
      <c r="A155" s="36" t="s">
        <v>851</v>
      </c>
      <c r="B155" s="37" t="s">
        <v>853</v>
      </c>
      <c r="C155" s="37" t="s">
        <v>170</v>
      </c>
      <c r="D155" s="38">
        <f>ROUND(SUMIF(RV_DATA!AB101:AB171, 1198263553, RV_DATA!I101:I171), 6)</f>
        <v>3.0000000000000001E-6</v>
      </c>
      <c r="E155" s="39">
        <f>ROUND(RV_DATA!K129, 2)</f>
        <v>12936</v>
      </c>
      <c r="F155" s="39">
        <f>ROUND(SUMIF(RV_DATA!AB101:AB171, 1198263553, RV_DATA!M101:M171), 6)</f>
        <v>0.05</v>
      </c>
      <c r="G155" s="39">
        <f>ROUND(RV_DATA!N129, 2)</f>
        <v>111120.24</v>
      </c>
      <c r="H155" s="39">
        <f>ROUND(SUMIF(RV_DATA!AB101:AB171, 1198263553, RV_DATA!O101:O171), 6)</f>
        <v>0.43</v>
      </c>
      <c r="AL155">
        <v>3</v>
      </c>
    </row>
    <row r="156" spans="1:38" ht="42.75" x14ac:dyDescent="0.2">
      <c r="A156" s="36" t="s">
        <v>392</v>
      </c>
      <c r="B156" s="37" t="s">
        <v>393</v>
      </c>
      <c r="C156" s="37" t="s">
        <v>170</v>
      </c>
      <c r="D156" s="38">
        <f>ROUND(SUMIF(RV_DATA!AB101:AB171, 1578314395, RV_DATA!I101:I171), 6)</f>
        <v>4.0000000000000001E-3</v>
      </c>
      <c r="E156" s="39">
        <f>ROUND(RV_DATA!K170, 2)</f>
        <v>35011</v>
      </c>
      <c r="F156" s="39">
        <f>ROUND(SUMIF(RV_DATA!AB101:AB171, 1578314395, RV_DATA!M101:M171), 6)</f>
        <v>140.04</v>
      </c>
      <c r="G156" s="39">
        <f>ROUND(RV_DATA!N170, 2)</f>
        <v>375317.92</v>
      </c>
      <c r="H156" s="39">
        <f>ROUND(SUMIF(RV_DATA!AB101:AB171, 1578314395, RV_DATA!O101:O171), 6)</f>
        <v>1501.27</v>
      </c>
      <c r="AL156">
        <v>3</v>
      </c>
    </row>
    <row r="157" spans="1:38" ht="14.25" x14ac:dyDescent="0.2">
      <c r="A157" s="36" t="s">
        <v>812</v>
      </c>
      <c r="B157" s="37" t="s">
        <v>814</v>
      </c>
      <c r="C157" s="37" t="s">
        <v>192</v>
      </c>
      <c r="D157" s="38">
        <f>ROUND(SUMIF(RV_DATA!AB101:AB171, 1803414858, RV_DATA!I101:I171), 6)</f>
        <v>0.140265</v>
      </c>
      <c r="E157" s="39">
        <f>ROUND(RV_DATA!K128, 2)</f>
        <v>6.62</v>
      </c>
      <c r="F157" s="39">
        <f>ROUND(SUMIF(RV_DATA!AB101:AB171, 1803414858, RV_DATA!M101:M171), 6)</f>
        <v>0.93</v>
      </c>
      <c r="G157" s="39">
        <f>ROUND(RV_DATA!N128, 2)</f>
        <v>53.09</v>
      </c>
      <c r="H157" s="39">
        <f>ROUND(SUMIF(RV_DATA!AB101:AB171, 1803414858, RV_DATA!O101:O171), 6)</f>
        <v>7.46</v>
      </c>
      <c r="AL157">
        <v>3</v>
      </c>
    </row>
    <row r="158" spans="1:38" ht="14.25" x14ac:dyDescent="0.2">
      <c r="A158" s="36" t="s">
        <v>854</v>
      </c>
      <c r="B158" s="37" t="s">
        <v>856</v>
      </c>
      <c r="C158" s="37" t="s">
        <v>170</v>
      </c>
      <c r="D158" s="38">
        <f>ROUND(SUMIF(RV_DATA!AB101:AB171, 1068711965, RV_DATA!I101:I171), 6)</f>
        <v>4.3000000000000002E-5</v>
      </c>
      <c r="E158" s="39">
        <f>ROUND(RV_DATA!K127, 2)</f>
        <v>9420</v>
      </c>
      <c r="F158" s="39">
        <f>ROUND(SUMIF(RV_DATA!AB101:AB171, 1068711965, RV_DATA!M101:M171), 6)</f>
        <v>0.4</v>
      </c>
      <c r="G158" s="39">
        <f>ROUND(RV_DATA!N127, 2)</f>
        <v>72063</v>
      </c>
      <c r="H158" s="39">
        <f>ROUND(SUMIF(RV_DATA!AB101:AB171, 1068711965, RV_DATA!O101:O171), 6)</f>
        <v>3.06</v>
      </c>
      <c r="AL158">
        <v>3</v>
      </c>
    </row>
    <row r="159" spans="1:38" ht="28.5" x14ac:dyDescent="0.2">
      <c r="A159" s="36" t="s">
        <v>388</v>
      </c>
      <c r="B159" s="37" t="s">
        <v>389</v>
      </c>
      <c r="C159" s="37" t="s">
        <v>201</v>
      </c>
      <c r="D159" s="38">
        <f>ROUND(SUMIF(RV_DATA!AB101:AB171, 271598368, RV_DATA!I101:I171), 6)</f>
        <v>14.85</v>
      </c>
      <c r="E159" s="39">
        <f>ROUND(RV_DATA!K169, 2)</f>
        <v>58.92</v>
      </c>
      <c r="F159" s="39">
        <f>ROUND(SUMIF(RV_DATA!AB101:AB171, 271598368, RV_DATA!M101:M171), 6)</f>
        <v>874.96</v>
      </c>
      <c r="G159" s="39">
        <f>ROUND(RV_DATA!N169, 2)</f>
        <v>589.79</v>
      </c>
      <c r="H159" s="39">
        <f>ROUND(SUMIF(RV_DATA!AB101:AB171, 271598368, RV_DATA!O101:O171), 6)</f>
        <v>8758.3700000000008</v>
      </c>
      <c r="AL159">
        <v>3</v>
      </c>
    </row>
    <row r="160" spans="1:38" ht="42.75" x14ac:dyDescent="0.2">
      <c r="A160" s="36" t="s">
        <v>857</v>
      </c>
      <c r="B160" s="37" t="s">
        <v>859</v>
      </c>
      <c r="C160" s="37" t="s">
        <v>52</v>
      </c>
      <c r="D160" s="38">
        <f>ROUND(SUMIF(RV_DATA!AB101:AB171, -1697308160, RV_DATA!I101:I171), 6)</f>
        <v>2.2800000000000001E-4</v>
      </c>
      <c r="E160" s="39">
        <f>ROUND(RV_DATA!K126, 2)</f>
        <v>1421</v>
      </c>
      <c r="F160" s="39">
        <f>ROUND(SUMIF(RV_DATA!AB101:AB171, -1697308160, RV_DATA!M101:M171), 6)</f>
        <v>0.32</v>
      </c>
      <c r="G160" s="39">
        <f>ROUND(RV_DATA!N126, 2)</f>
        <v>18572.47</v>
      </c>
      <c r="H160" s="39">
        <f>ROUND(SUMIF(RV_DATA!AB101:AB171, -1697308160, RV_DATA!O101:O171), 6)</f>
        <v>4.18</v>
      </c>
      <c r="AL160">
        <v>3</v>
      </c>
    </row>
    <row r="161" spans="1:38" ht="42.75" x14ac:dyDescent="0.2">
      <c r="A161" s="36" t="s">
        <v>366</v>
      </c>
      <c r="B161" s="37" t="s">
        <v>367</v>
      </c>
      <c r="C161" s="37" t="s">
        <v>368</v>
      </c>
      <c r="D161" s="38">
        <f>ROUND(SUMIF(RV_DATA!AB101:AB171, -1334343700, RV_DATA!I101:I171), 6)</f>
        <v>14.7</v>
      </c>
      <c r="E161" s="39">
        <f>ROUND(RV_DATA!K143, 2)</f>
        <v>28.37</v>
      </c>
      <c r="F161" s="39">
        <f>ROUND(SUMIF(RV_DATA!AB101:AB171, -1334343700, RV_DATA!M101:M171), 6)</f>
        <v>417.04</v>
      </c>
      <c r="G161" s="39">
        <f>ROUND(RV_DATA!N143, 2)</f>
        <v>274.62</v>
      </c>
      <c r="H161" s="39">
        <f>ROUND(SUMIF(RV_DATA!AB101:AB171, -1334343700, RV_DATA!O101:O171), 6)</f>
        <v>4036.94</v>
      </c>
      <c r="AL161">
        <v>3</v>
      </c>
    </row>
    <row r="162" spans="1:38" ht="42.75" x14ac:dyDescent="0.2">
      <c r="A162" s="36" t="s">
        <v>357</v>
      </c>
      <c r="B162" s="37" t="s">
        <v>358</v>
      </c>
      <c r="C162" s="37" t="s">
        <v>170</v>
      </c>
      <c r="D162" s="38">
        <f>ROUND(SUMIF(RV_DATA!AB101:AB171, -1312461878, RV_DATA!I101:I171), 6)</f>
        <v>5.67E-2</v>
      </c>
      <c r="E162" s="39">
        <f>ROUND(RV_DATA!K122, 2)</f>
        <v>6232.24</v>
      </c>
      <c r="F162" s="39">
        <f>ROUND(SUMIF(RV_DATA!AB101:AB171, -1312461878, RV_DATA!M101:M171), 6)</f>
        <v>353.37</v>
      </c>
      <c r="G162" s="39">
        <f>ROUND(RV_DATA!N122, 2)</f>
        <v>66373.36</v>
      </c>
      <c r="H162" s="39">
        <f>ROUND(SUMIF(RV_DATA!AB101:AB171, -1312461878, RV_DATA!O101:O171), 6)</f>
        <v>3763.37</v>
      </c>
      <c r="AL162">
        <v>3</v>
      </c>
    </row>
    <row r="163" spans="1:38" ht="14.25" x14ac:dyDescent="0.2">
      <c r="A163" s="36" t="s">
        <v>178</v>
      </c>
      <c r="B163" s="37" t="s">
        <v>179</v>
      </c>
      <c r="C163" s="37" t="s">
        <v>170</v>
      </c>
      <c r="D163" s="38">
        <f>ROUND(SUMIF(RV_DATA!AB101:AB171, -1628321020, RV_DATA!I101:I171), 6)</f>
        <v>7.8999999999999996E-5</v>
      </c>
      <c r="E163" s="39">
        <f>ROUND(RV_DATA!K125, 2)</f>
        <v>15620</v>
      </c>
      <c r="F163" s="39">
        <f>ROUND(SUMIF(RV_DATA!AB101:AB171, -1628321020, RV_DATA!M101:M171), 6)</f>
        <v>1.24</v>
      </c>
      <c r="G163" s="39">
        <f>ROUND(RV_DATA!N125, 2)</f>
        <v>80130.600000000006</v>
      </c>
      <c r="H163" s="39">
        <f>ROUND(SUMIF(RV_DATA!AB101:AB171, -1628321020, RV_DATA!O101:O171), 6)</f>
        <v>6.36</v>
      </c>
      <c r="AL163">
        <v>3</v>
      </c>
    </row>
    <row r="164" spans="1:38" ht="71.25" x14ac:dyDescent="0.2">
      <c r="A164" s="36" t="s">
        <v>860</v>
      </c>
      <c r="B164" s="37" t="s">
        <v>862</v>
      </c>
      <c r="C164" s="37" t="s">
        <v>170</v>
      </c>
      <c r="D164" s="38">
        <f>ROUND(SUMIF(RV_DATA!AB101:AB171, 161394910, RV_DATA!I101:I171), 6)</f>
        <v>2.575E-3</v>
      </c>
      <c r="E164" s="39">
        <f>ROUND(RV_DATA!K124, 2)</f>
        <v>7712</v>
      </c>
      <c r="F164" s="39">
        <f>ROUND(SUMIF(RV_DATA!AB101:AB171, 161394910, RV_DATA!M101:M171), 6)</f>
        <v>19.86</v>
      </c>
      <c r="G164" s="39">
        <f>ROUND(RV_DATA!N124, 2)</f>
        <v>119227.52</v>
      </c>
      <c r="H164" s="39">
        <f>ROUND(SUMIF(RV_DATA!AB101:AB171, 161394910, RV_DATA!O101:O171), 6)</f>
        <v>307.04000000000002</v>
      </c>
      <c r="AL164">
        <v>3</v>
      </c>
    </row>
    <row r="165" spans="1:38" ht="28.5" x14ac:dyDescent="0.2">
      <c r="A165" s="36" t="s">
        <v>405</v>
      </c>
      <c r="B165" s="37" t="s">
        <v>406</v>
      </c>
      <c r="C165" s="37" t="s">
        <v>47</v>
      </c>
      <c r="D165" s="38">
        <f>ROUND(SUMIF(RV_DATA!AB101:AB171, -288293947, RV_DATA!I101:I171), 6)</f>
        <v>3</v>
      </c>
      <c r="E165" s="39">
        <f>ROUND(RV_DATA!K171, 2)</f>
        <v>2825.71</v>
      </c>
      <c r="F165" s="39">
        <f>ROUND(SUMIF(RV_DATA!AB101:AB171, -288293947, RV_DATA!M101:M171), 6)</f>
        <v>8477.1299999999992</v>
      </c>
      <c r="G165" s="39">
        <f>ROUND(RV_DATA!N171, 2)</f>
        <v>16954.259999999998</v>
      </c>
      <c r="H165" s="39">
        <f>ROUND(SUMIF(RV_DATA!AB101:AB171, -288293947, RV_DATA!O101:O171), 6)</f>
        <v>50862.78</v>
      </c>
      <c r="AL165">
        <v>3</v>
      </c>
    </row>
    <row r="166" spans="1:38" ht="28.5" x14ac:dyDescent="0.2">
      <c r="A166" s="36" t="s">
        <v>340</v>
      </c>
      <c r="B166" s="37" t="s">
        <v>341</v>
      </c>
      <c r="C166" s="37" t="s">
        <v>52</v>
      </c>
      <c r="D166" s="38">
        <f>ROUND(SUMIF(RV_DATA!AB101:AB171, -1266421498, RV_DATA!I101:I171), 6)</f>
        <v>2.8151999999999999</v>
      </c>
      <c r="E166" s="39">
        <f>ROUND(RV_DATA!K116, 2)</f>
        <v>635</v>
      </c>
      <c r="F166" s="39">
        <f>ROUND(SUMIF(RV_DATA!AB101:AB171, -1266421498, RV_DATA!M101:M171), 6)</f>
        <v>1787.65</v>
      </c>
      <c r="G166" s="39">
        <f>ROUND(RV_DATA!N116, 2)</f>
        <v>7092.95</v>
      </c>
      <c r="H166" s="39">
        <f>ROUND(SUMIF(RV_DATA!AB101:AB171, -1266421498, RV_DATA!O101:O171), 6)</f>
        <v>19968.07</v>
      </c>
      <c r="AL166">
        <v>3</v>
      </c>
    </row>
    <row r="167" spans="1:38" ht="42.75" x14ac:dyDescent="0.2">
      <c r="A167" s="36" t="s">
        <v>323</v>
      </c>
      <c r="B167" s="37" t="s">
        <v>324</v>
      </c>
      <c r="C167" s="37" t="s">
        <v>52</v>
      </c>
      <c r="D167" s="38">
        <f>ROUND(SUMIF(RV_DATA!AB101:AB171, -1615761812, RV_DATA!I101:I171), 6)</f>
        <v>2.5253999999999999</v>
      </c>
      <c r="E167" s="39">
        <f>ROUND(RV_DATA!K109, 2)</f>
        <v>191</v>
      </c>
      <c r="F167" s="39">
        <f>ROUND(SUMIF(RV_DATA!AB101:AB171, -1615761812, RV_DATA!M101:M171), 6)</f>
        <v>482.35</v>
      </c>
      <c r="G167" s="39">
        <f>ROUND(RV_DATA!N109, 2)</f>
        <v>3233.63</v>
      </c>
      <c r="H167" s="39">
        <f>ROUND(SUMIF(RV_DATA!AB101:AB171, -1615761812, RV_DATA!O101:O171), 6)</f>
        <v>8166.21</v>
      </c>
      <c r="AL167">
        <v>3</v>
      </c>
    </row>
    <row r="168" spans="1:38" ht="14.25" x14ac:dyDescent="0.2">
      <c r="A168" s="36" t="s">
        <v>883</v>
      </c>
      <c r="B168" s="37" t="s">
        <v>885</v>
      </c>
      <c r="C168" s="37" t="s">
        <v>52</v>
      </c>
      <c r="D168" s="38">
        <f>ROUND(SUMIF(RV_DATA!AB101:AB171, 868455164, RV_DATA!I101:I171), 6)</f>
        <v>0.15042</v>
      </c>
      <c r="E168" s="39">
        <f>ROUND(RV_DATA!K103, 2)</f>
        <v>2.4700000000000002</v>
      </c>
      <c r="F168" s="39">
        <f>ROUND(SUMIF(RV_DATA!AB101:AB171, 868455164, RV_DATA!M101:M171), 6)</f>
        <v>0.37</v>
      </c>
      <c r="G168" s="39">
        <f>ROUND(RV_DATA!N103, 2)</f>
        <v>19.59</v>
      </c>
      <c r="H168" s="39">
        <f>ROUND(SUMIF(RV_DATA!AB101:AB171, 868455164, RV_DATA!O101:O171), 6)</f>
        <v>2.93</v>
      </c>
      <c r="AL168">
        <v>3</v>
      </c>
    </row>
    <row r="169" spans="1:38" ht="71.25" x14ac:dyDescent="0.2">
      <c r="A169" s="36" t="s">
        <v>863</v>
      </c>
      <c r="B169" s="37" t="s">
        <v>865</v>
      </c>
      <c r="C169" s="37" t="s">
        <v>866</v>
      </c>
      <c r="D169" s="38">
        <f>ROUND(SUMIF(RV_DATA!AB101:AB171, 682266845, RV_DATA!I101:I171), 6)</f>
        <v>3.114E-3</v>
      </c>
      <c r="E169" s="39">
        <f>ROUND(RV_DATA!K123, 2)</f>
        <v>71.5</v>
      </c>
      <c r="F169" s="39">
        <f>ROUND(SUMIF(RV_DATA!AB101:AB171, 682266845, RV_DATA!M101:M171), 6)</f>
        <v>0.22</v>
      </c>
      <c r="G169" s="39">
        <f>ROUND(RV_DATA!N123, 2)</f>
        <v>251.68</v>
      </c>
      <c r="H169" s="39">
        <f>ROUND(SUMIF(RV_DATA!AB101:AB171, 682266845, RV_DATA!O101:O171), 6)</f>
        <v>0.78</v>
      </c>
      <c r="AL169">
        <v>3</v>
      </c>
    </row>
    <row r="170" spans="1:38" ht="15" x14ac:dyDescent="0.25">
      <c r="A170" s="40" t="s">
        <v>1278</v>
      </c>
      <c r="B170" s="40"/>
      <c r="C170" s="40"/>
      <c r="D170" s="40"/>
      <c r="E170" s="41">
        <f>SUMIF(AL148:AL169, 3, F148:F169)</f>
        <v>12655.689999999999</v>
      </c>
      <c r="F170" s="41"/>
      <c r="G170" s="41">
        <f>SUMIF(AL148:AL169, 3, H148:H169)</f>
        <v>98325.46</v>
      </c>
      <c r="H170" s="40"/>
    </row>
    <row r="171" spans="1:38" ht="16.5" x14ac:dyDescent="0.2">
      <c r="A171" s="24" t="str">
        <f>CONCATENATE("Раздел: ",IF(Source!G313&lt;&gt;"Новый раздел", Source!G313, ""))</f>
        <v>Раздел: Площадка для прощания</v>
      </c>
      <c r="B171" s="25"/>
      <c r="C171" s="25"/>
      <c r="D171" s="25"/>
      <c r="E171" s="25"/>
      <c r="F171" s="25"/>
      <c r="G171" s="25"/>
      <c r="H171" s="25"/>
    </row>
    <row r="172" spans="1:38" ht="14.25" x14ac:dyDescent="0.2">
      <c r="A172" s="34" t="s">
        <v>1273</v>
      </c>
      <c r="B172" s="35"/>
      <c r="C172" s="35"/>
      <c r="D172" s="35"/>
      <c r="E172" s="35"/>
      <c r="F172" s="35"/>
      <c r="G172" s="35"/>
      <c r="H172" s="35"/>
    </row>
    <row r="173" spans="1:38" ht="14.25" x14ac:dyDescent="0.2">
      <c r="A173" s="36" t="s">
        <v>701</v>
      </c>
      <c r="B173" s="37" t="s">
        <v>702</v>
      </c>
      <c r="C173" s="37" t="s">
        <v>696</v>
      </c>
      <c r="D173" s="38">
        <f>ROUND(SUMIF(RV_DATA!AB173:AB272, -1697901350, RV_DATA!I173:I272), 6)</f>
        <v>6.48</v>
      </c>
      <c r="E173" s="39">
        <f>ROUND(RV_DATA!K178, 2)</f>
        <v>7.29</v>
      </c>
      <c r="F173" s="39">
        <f>ROUND(SUMIF(RV_DATA!AB173:AB272, -1697901350, RV_DATA!M173:M272), 6)</f>
        <v>47.24</v>
      </c>
      <c r="G173" s="39">
        <f>ROUND(RV_DATA!N178, 2)</f>
        <v>7.29</v>
      </c>
      <c r="H173" s="39">
        <f>ROUND(SUMIF(RV_DATA!AB173:AB272, -1697901350, RV_DATA!O173:O272), 6)</f>
        <v>47.24</v>
      </c>
      <c r="AL173">
        <v>1</v>
      </c>
    </row>
    <row r="174" spans="1:38" ht="14.25" x14ac:dyDescent="0.2">
      <c r="A174" s="36" t="s">
        <v>703</v>
      </c>
      <c r="B174" s="37" t="s">
        <v>704</v>
      </c>
      <c r="C174" s="37" t="s">
        <v>696</v>
      </c>
      <c r="D174" s="38">
        <f>ROUND(SUMIF(RV_DATA!AB173:AB272, 1494462434, RV_DATA!I173:I272), 6)</f>
        <v>7.3362239999999996</v>
      </c>
      <c r="E174" s="39">
        <f>ROUND(RV_DATA!K196, 2)</f>
        <v>7.97</v>
      </c>
      <c r="F174" s="39">
        <f>ROUND(SUMIF(RV_DATA!AB173:AB272, 1494462434, RV_DATA!M173:M272), 6)</f>
        <v>58.47</v>
      </c>
      <c r="G174" s="39">
        <f>ROUND(RV_DATA!N196, 2)</f>
        <v>7.97</v>
      </c>
      <c r="H174" s="39">
        <f>ROUND(SUMIF(RV_DATA!AB173:AB272, 1494462434, RV_DATA!O173:O272), 6)</f>
        <v>58.47</v>
      </c>
      <c r="AL174">
        <v>1</v>
      </c>
    </row>
    <row r="175" spans="1:38" ht="28.5" x14ac:dyDescent="0.2">
      <c r="A175" s="36" t="s">
        <v>772</v>
      </c>
      <c r="B175" s="37" t="s">
        <v>773</v>
      </c>
      <c r="C175" s="37" t="s">
        <v>696</v>
      </c>
      <c r="D175" s="38">
        <f>ROUND(SUMIF(RV_DATA!AB173:AB272, -72625266, RV_DATA!I173:I272), 6)</f>
        <v>13.118048</v>
      </c>
      <c r="E175" s="39">
        <f>ROUND(RV_DATA!K243, 2)</f>
        <v>8.17</v>
      </c>
      <c r="F175" s="39">
        <f>ROUND(SUMIF(RV_DATA!AB173:AB272, -72625266, RV_DATA!M173:M272), 6)</f>
        <v>107.17</v>
      </c>
      <c r="G175" s="39">
        <f>ROUND(RV_DATA!N243, 2)</f>
        <v>8.17</v>
      </c>
      <c r="H175" s="39">
        <f>ROUND(SUMIF(RV_DATA!AB173:AB272, -72625266, RV_DATA!O173:O272), 6)</f>
        <v>107.17</v>
      </c>
      <c r="AL175">
        <v>1</v>
      </c>
    </row>
    <row r="176" spans="1:38" ht="28.5" x14ac:dyDescent="0.2">
      <c r="A176" s="36" t="s">
        <v>895</v>
      </c>
      <c r="B176" s="37" t="s">
        <v>896</v>
      </c>
      <c r="C176" s="37" t="s">
        <v>696</v>
      </c>
      <c r="D176" s="38">
        <f>ROUND(SUMIF(RV_DATA!AB173:AB272, 470978775, RV_DATA!I173:I272), 6)</f>
        <v>1.2830159999999999</v>
      </c>
      <c r="E176" s="39">
        <f>ROUND(RV_DATA!K216, 2)</f>
        <v>8.2799999999999994</v>
      </c>
      <c r="F176" s="39">
        <f>ROUND(SUMIF(RV_DATA!AB173:AB272, 470978775, RV_DATA!M173:M272), 6)</f>
        <v>10.62</v>
      </c>
      <c r="G176" s="39">
        <f>ROUND(RV_DATA!N216, 2)</f>
        <v>8.2799999999999994</v>
      </c>
      <c r="H176" s="39">
        <f>ROUND(SUMIF(RV_DATA!AB173:AB272, 470978775, RV_DATA!O173:O272), 6)</f>
        <v>10.62</v>
      </c>
      <c r="AL176">
        <v>1</v>
      </c>
    </row>
    <row r="177" spans="1:38" ht="28.5" x14ac:dyDescent="0.2">
      <c r="A177" s="36" t="s">
        <v>915</v>
      </c>
      <c r="B177" s="37" t="s">
        <v>916</v>
      </c>
      <c r="C177" s="37" t="s">
        <v>696</v>
      </c>
      <c r="D177" s="38">
        <f>ROUND(SUMIF(RV_DATA!AB173:AB272, -1857114646, RV_DATA!I173:I272), 6)</f>
        <v>10.277568</v>
      </c>
      <c r="E177" s="39">
        <f>ROUND(RV_DATA!K201, 2)</f>
        <v>8.48</v>
      </c>
      <c r="F177" s="39">
        <f>ROUND(SUMIF(RV_DATA!AB173:AB272, -1857114646, RV_DATA!M173:M272), 6)</f>
        <v>87.16</v>
      </c>
      <c r="G177" s="39">
        <f>ROUND(RV_DATA!N201, 2)</f>
        <v>8.48</v>
      </c>
      <c r="H177" s="39">
        <f>ROUND(SUMIF(RV_DATA!AB173:AB272, -1857114646, RV_DATA!O173:O272), 6)</f>
        <v>87.16</v>
      </c>
      <c r="AL177">
        <v>1</v>
      </c>
    </row>
    <row r="178" spans="1:38" ht="28.5" x14ac:dyDescent="0.2">
      <c r="A178" s="36" t="s">
        <v>964</v>
      </c>
      <c r="B178" s="37" t="s">
        <v>965</v>
      </c>
      <c r="C178" s="37" t="s">
        <v>696</v>
      </c>
      <c r="D178" s="38">
        <f>ROUND(SUMIF(RV_DATA!AB173:AB272, 1149990855, RV_DATA!I173:I272), 6)</f>
        <v>0.144648</v>
      </c>
      <c r="E178" s="39">
        <f>ROUND(RV_DATA!K208, 2)</f>
        <v>8.58</v>
      </c>
      <c r="F178" s="39">
        <f>ROUND(SUMIF(RV_DATA!AB173:AB272, 1149990855, RV_DATA!M173:M272), 6)</f>
        <v>1.24</v>
      </c>
      <c r="G178" s="39">
        <f>ROUND(RV_DATA!N208, 2)</f>
        <v>8.58</v>
      </c>
      <c r="H178" s="39">
        <f>ROUND(SUMIF(RV_DATA!AB173:AB272, 1149990855, RV_DATA!O173:O272), 6)</f>
        <v>1.24</v>
      </c>
      <c r="AL178">
        <v>1</v>
      </c>
    </row>
    <row r="179" spans="1:38" ht="15" x14ac:dyDescent="0.25">
      <c r="A179" s="40" t="s">
        <v>1274</v>
      </c>
      <c r="B179" s="40"/>
      <c r="C179" s="40"/>
      <c r="D179" s="40"/>
      <c r="E179" s="41">
        <f>SUMIF(AL173:AL178, 1, F173:F178)</f>
        <v>311.89999999999998</v>
      </c>
      <c r="F179" s="41"/>
      <c r="G179" s="41">
        <f>SUMIF(AL173:AL178, 1, H173:H178)</f>
        <v>311.89999999999998</v>
      </c>
      <c r="H179" s="40"/>
    </row>
    <row r="180" spans="1:38" ht="14.25" x14ac:dyDescent="0.2">
      <c r="A180" s="34" t="s">
        <v>1275</v>
      </c>
      <c r="B180" s="35"/>
      <c r="C180" s="35"/>
      <c r="D180" s="35"/>
      <c r="E180" s="35"/>
      <c r="F180" s="35"/>
      <c r="G180" s="35"/>
      <c r="H180" s="35"/>
    </row>
    <row r="181" spans="1:38" ht="28.5" x14ac:dyDescent="0.2">
      <c r="A181" s="36" t="s">
        <v>886</v>
      </c>
      <c r="B181" s="37" t="s">
        <v>888</v>
      </c>
      <c r="C181" s="37" t="s">
        <v>700</v>
      </c>
      <c r="D181" s="38">
        <f>ROUND(SUMIF(RV_DATA!AB173:AB272, 925327548, RV_DATA!I173:I272), 6)</f>
        <v>0.79368000000000005</v>
      </c>
      <c r="E181" s="39">
        <f>ROUND(RV_DATA!K177, 2)</f>
        <v>103.49</v>
      </c>
      <c r="F181" s="39">
        <f>ROUND(SUMIF(RV_DATA!AB173:AB272, 925327548, RV_DATA!M173:M272), 6)</f>
        <v>82.14</v>
      </c>
      <c r="G181" s="39">
        <f>ROUND(RV_DATA!N177, 2)</f>
        <v>1247.05</v>
      </c>
      <c r="H181" s="39">
        <f>ROUND(SUMIF(RV_DATA!AB173:AB272, 925327548, RV_DATA!O173:O272), 6)</f>
        <v>989.78</v>
      </c>
      <c r="AL181">
        <v>2</v>
      </c>
    </row>
    <row r="182" spans="1:38" ht="42.75" x14ac:dyDescent="0.2">
      <c r="A182" s="36" t="s">
        <v>821</v>
      </c>
      <c r="B182" s="37" t="s">
        <v>823</v>
      </c>
      <c r="C182" s="37" t="s">
        <v>700</v>
      </c>
      <c r="D182" s="38">
        <f>ROUND(SUMIF(RV_DATA!AB173:AB272, -910470663, RV_DATA!I173:I272), 6)</f>
        <v>3.8719999999999997E-2</v>
      </c>
      <c r="E182" s="39">
        <f>ROUND(RV_DATA!K242, 2)</f>
        <v>159.85</v>
      </c>
      <c r="F182" s="39">
        <f>ROUND(SUMIF(RV_DATA!AB173:AB272, -910470663, RV_DATA!M173:M272), 6)</f>
        <v>6.19</v>
      </c>
      <c r="G182" s="39">
        <f>ROUND(RV_DATA!N242, 2)</f>
        <v>1791.92</v>
      </c>
      <c r="H182" s="39">
        <f>ROUND(SUMIF(RV_DATA!AB173:AB272, -910470663, RV_DATA!O173:O272), 6)</f>
        <v>69.39</v>
      </c>
      <c r="AL182">
        <v>2</v>
      </c>
    </row>
    <row r="183" spans="1:38" ht="42.75" x14ac:dyDescent="0.2">
      <c r="A183" s="36" t="s">
        <v>721</v>
      </c>
      <c r="B183" s="37" t="s">
        <v>723</v>
      </c>
      <c r="C183" s="37" t="s">
        <v>700</v>
      </c>
      <c r="D183" s="38">
        <f>ROUND(SUMIF(RV_DATA!AB173:AB272, 887395808, RV_DATA!I173:I272), 6)</f>
        <v>9.1520000000000004E-2</v>
      </c>
      <c r="E183" s="39">
        <f>ROUND(RV_DATA!K194, 2)</f>
        <v>124.14</v>
      </c>
      <c r="F183" s="39">
        <f>ROUND(SUMIF(RV_DATA!AB173:AB272, 887395808, RV_DATA!M173:M272), 6)</f>
        <v>11.37</v>
      </c>
      <c r="G183" s="39">
        <f>ROUND(RV_DATA!N194, 2)</f>
        <v>1453.68</v>
      </c>
      <c r="H183" s="39">
        <f>ROUND(SUMIF(RV_DATA!AB173:AB272, 887395808, RV_DATA!O173:O272), 6)</f>
        <v>133.13999999999999</v>
      </c>
      <c r="AL183">
        <v>2</v>
      </c>
    </row>
    <row r="184" spans="1:38" ht="28.5" x14ac:dyDescent="0.2">
      <c r="A184" s="36" t="s">
        <v>920</v>
      </c>
      <c r="B184" s="37" t="s">
        <v>922</v>
      </c>
      <c r="C184" s="37" t="s">
        <v>700</v>
      </c>
      <c r="D184" s="38">
        <f>ROUND(SUMIF(RV_DATA!AB173:AB272, -534232308, RV_DATA!I173:I272), 6)</f>
        <v>0.95369599999999999</v>
      </c>
      <c r="E184" s="39">
        <f>ROUND(RV_DATA!K240, 2)</f>
        <v>187.45</v>
      </c>
      <c r="F184" s="39">
        <f>ROUND(SUMIF(RV_DATA!AB173:AB272, -534232308, RV_DATA!M173:M272), 6)</f>
        <v>178.77</v>
      </c>
      <c r="G184" s="39">
        <f>ROUND(RV_DATA!N240, 2)</f>
        <v>2397.4899999999998</v>
      </c>
      <c r="H184" s="39">
        <f>ROUND(SUMIF(RV_DATA!AB173:AB272, -534232308, RV_DATA!O173:O272), 6)</f>
        <v>2286.46</v>
      </c>
      <c r="AL184">
        <v>2</v>
      </c>
    </row>
    <row r="185" spans="1:38" ht="14.25" x14ac:dyDescent="0.2">
      <c r="A185" s="36" t="s">
        <v>774</v>
      </c>
      <c r="B185" s="37" t="s">
        <v>776</v>
      </c>
      <c r="C185" s="37" t="s">
        <v>700</v>
      </c>
      <c r="D185" s="38">
        <f>ROUND(SUMIF(RV_DATA!AB173:AB272, -771525458, RV_DATA!I173:I272), 6)</f>
        <v>1.2960000000000001E-3</v>
      </c>
      <c r="E185" s="39">
        <f>ROUND(RV_DATA!K193, 2)</f>
        <v>87.24</v>
      </c>
      <c r="F185" s="39">
        <f>ROUND(SUMIF(RV_DATA!AB173:AB272, -771525458, RV_DATA!M173:M272), 6)</f>
        <v>0.11</v>
      </c>
      <c r="G185" s="39">
        <f>ROUND(RV_DATA!N193, 2)</f>
        <v>2230.73</v>
      </c>
      <c r="H185" s="39">
        <f>ROUND(SUMIF(RV_DATA!AB173:AB272, -771525458, RV_DATA!O173:O272), 6)</f>
        <v>2.81</v>
      </c>
      <c r="AL185">
        <v>2</v>
      </c>
    </row>
    <row r="186" spans="1:38" ht="28.5" x14ac:dyDescent="0.2">
      <c r="A186" s="36" t="s">
        <v>827</v>
      </c>
      <c r="B186" s="37" t="s">
        <v>829</v>
      </c>
      <c r="C186" s="37" t="s">
        <v>700</v>
      </c>
      <c r="D186" s="38">
        <f>ROUND(SUMIF(RV_DATA!AB173:AB272, -1264283530, RV_DATA!I173:I272), 6)</f>
        <v>0.23760000000000001</v>
      </c>
      <c r="E186" s="39">
        <f>ROUND(RV_DATA!K262, 2)</f>
        <v>1.52</v>
      </c>
      <c r="F186" s="39">
        <f>ROUND(SUMIF(RV_DATA!AB173:AB272, -1264283530, RV_DATA!M173:M272), 6)</f>
        <v>0.36</v>
      </c>
      <c r="G186" s="39">
        <f>ROUND(RV_DATA!N262, 2)</f>
        <v>8.09</v>
      </c>
      <c r="H186" s="39">
        <f>ROUND(SUMIF(RV_DATA!AB173:AB272, -1264283530, RV_DATA!O173:O272), 6)</f>
        <v>1.92</v>
      </c>
      <c r="AL186">
        <v>2</v>
      </c>
    </row>
    <row r="187" spans="1:38" ht="42.75" x14ac:dyDescent="0.2">
      <c r="A187" s="36" t="s">
        <v>966</v>
      </c>
      <c r="B187" s="37" t="s">
        <v>968</v>
      </c>
      <c r="C187" s="37" t="s">
        <v>700</v>
      </c>
      <c r="D187" s="38">
        <f>ROUND(SUMIF(RV_DATA!AB173:AB272, 1049201179, RV_DATA!I173:I272), 6)</f>
        <v>7.8399999999999997E-4</v>
      </c>
      <c r="E187" s="39">
        <f>ROUND(RV_DATA!K207, 2)</f>
        <v>28.1</v>
      </c>
      <c r="F187" s="39">
        <f>ROUND(SUMIF(RV_DATA!AB173:AB272, 1049201179, RV_DATA!M173:M272), 6)</f>
        <v>0.02</v>
      </c>
      <c r="G187" s="39">
        <f>ROUND(RV_DATA!N207, 2)</f>
        <v>427.68</v>
      </c>
      <c r="H187" s="39">
        <f>ROUND(SUMIF(RV_DATA!AB173:AB272, 1049201179, RV_DATA!O173:O272), 6)</f>
        <v>0.3</v>
      </c>
      <c r="AL187">
        <v>2</v>
      </c>
    </row>
    <row r="188" spans="1:38" ht="14.25" x14ac:dyDescent="0.2">
      <c r="A188" s="36" t="s">
        <v>777</v>
      </c>
      <c r="B188" s="37" t="s">
        <v>779</v>
      </c>
      <c r="C188" s="37" t="s">
        <v>700</v>
      </c>
      <c r="D188" s="38">
        <f>ROUND(SUMIF(RV_DATA!AB173:AB272, 1695468324, RV_DATA!I173:I272), 6)</f>
        <v>0.59830399999999995</v>
      </c>
      <c r="E188" s="39">
        <f>ROUND(RV_DATA!K239, 2)</f>
        <v>1.43</v>
      </c>
      <c r="F188" s="39">
        <f>ROUND(SUMIF(RV_DATA!AB173:AB272, 1695468324, RV_DATA!M173:M272), 6)</f>
        <v>0.86</v>
      </c>
      <c r="G188" s="39">
        <f>ROUND(RV_DATA!N239, 2)</f>
        <v>9.35</v>
      </c>
      <c r="H188" s="39">
        <f>ROUND(SUMIF(RV_DATA!AB173:AB272, 1695468324, RV_DATA!O173:O272), 6)</f>
        <v>5.62</v>
      </c>
      <c r="AL188">
        <v>2</v>
      </c>
    </row>
    <row r="189" spans="1:38" ht="42.75" x14ac:dyDescent="0.2">
      <c r="A189" s="36" t="s">
        <v>833</v>
      </c>
      <c r="B189" s="37" t="s">
        <v>835</v>
      </c>
      <c r="C189" s="37" t="s">
        <v>700</v>
      </c>
      <c r="D189" s="38">
        <f>ROUND(SUMIF(RV_DATA!AB173:AB272, 642182244, RV_DATA!I173:I272), 6)</f>
        <v>0.21209600000000001</v>
      </c>
      <c r="E189" s="39">
        <f>ROUND(RV_DATA!K238, 2)</f>
        <v>9.6999999999999993</v>
      </c>
      <c r="F189" s="39">
        <f>ROUND(SUMIF(RV_DATA!AB173:AB272, 642182244, RV_DATA!M173:M272), 6)</f>
        <v>2.06</v>
      </c>
      <c r="G189" s="39">
        <f>ROUND(RV_DATA!N238, 2)</f>
        <v>116.79</v>
      </c>
      <c r="H189" s="39">
        <f>ROUND(SUMIF(RV_DATA!AB173:AB272, 642182244, RV_DATA!O173:O272), 6)</f>
        <v>24.81</v>
      </c>
      <c r="AL189">
        <v>2</v>
      </c>
    </row>
    <row r="190" spans="1:38" ht="57" x14ac:dyDescent="0.2">
      <c r="A190" s="36" t="s">
        <v>836</v>
      </c>
      <c r="B190" s="37" t="s">
        <v>838</v>
      </c>
      <c r="C190" s="37" t="s">
        <v>700</v>
      </c>
      <c r="D190" s="38">
        <f>ROUND(SUMIF(RV_DATA!AB173:AB272, -1084734523, RV_DATA!I173:I272), 6)</f>
        <v>4.7999999999999996E-3</v>
      </c>
      <c r="E190" s="39">
        <f>ROUND(RV_DATA!K259, 2)</f>
        <v>6.4</v>
      </c>
      <c r="F190" s="39">
        <f>ROUND(SUMIF(RV_DATA!AB173:AB272, -1084734523, RV_DATA!M173:M272), 6)</f>
        <v>0.03</v>
      </c>
      <c r="G190" s="39">
        <f>ROUND(RV_DATA!N259, 2)</f>
        <v>74.94</v>
      </c>
      <c r="H190" s="39">
        <f>ROUND(SUMIF(RV_DATA!AB173:AB272, -1084734523, RV_DATA!O173:O272), 6)</f>
        <v>0.35</v>
      </c>
      <c r="AL190">
        <v>2</v>
      </c>
    </row>
    <row r="191" spans="1:38" ht="57" x14ac:dyDescent="0.2">
      <c r="A191" s="36" t="s">
        <v>757</v>
      </c>
      <c r="B191" s="37" t="s">
        <v>759</v>
      </c>
      <c r="C191" s="37" t="s">
        <v>700</v>
      </c>
      <c r="D191" s="38">
        <f>ROUND(SUMIF(RV_DATA!AB173:AB272, -540860609, RV_DATA!I173:I272), 6)</f>
        <v>8.1928000000000001E-2</v>
      </c>
      <c r="E191" s="39">
        <f>ROUND(RV_DATA!K200, 2)</f>
        <v>59.38</v>
      </c>
      <c r="F191" s="39">
        <f>ROUND(SUMIF(RV_DATA!AB173:AB272, -540860609, RV_DATA!M173:M272), 6)</f>
        <v>4.8600000000000003</v>
      </c>
      <c r="G191" s="39">
        <f>ROUND(RV_DATA!N200, 2)</f>
        <v>893.67</v>
      </c>
      <c r="H191" s="39">
        <f>ROUND(SUMIF(RV_DATA!AB173:AB272, -540860609, RV_DATA!O173:O272), 6)</f>
        <v>73.14</v>
      </c>
      <c r="AL191">
        <v>2</v>
      </c>
    </row>
    <row r="192" spans="1:38" ht="14.25" x14ac:dyDescent="0.2">
      <c r="A192" s="36" t="s">
        <v>707</v>
      </c>
      <c r="B192" s="37" t="s">
        <v>709</v>
      </c>
      <c r="C192" s="37" t="s">
        <v>700</v>
      </c>
      <c r="D192" s="38">
        <f>ROUND(SUMIF(RV_DATA!AB173:AB272, -1047769044, RV_DATA!I173:I272), 6)</f>
        <v>1.0740000000000001</v>
      </c>
      <c r="E192" s="39">
        <f>ROUND(RV_DATA!K220, 2)</f>
        <v>189</v>
      </c>
      <c r="F192" s="39">
        <f>ROUND(SUMIF(RV_DATA!AB173:AB272, -1047769044, RV_DATA!M173:M272), 6)</f>
        <v>202.99</v>
      </c>
      <c r="G192" s="39">
        <f>ROUND(RV_DATA!N220, 2)</f>
        <v>1532.79</v>
      </c>
      <c r="H192" s="39">
        <f>ROUND(SUMIF(RV_DATA!AB173:AB272, -1047769044, RV_DATA!O173:O272), 6)</f>
        <v>1646.25</v>
      </c>
      <c r="AL192">
        <v>2</v>
      </c>
    </row>
    <row r="193" spans="1:38" ht="14.25" x14ac:dyDescent="0.2">
      <c r="A193" s="36" t="s">
        <v>934</v>
      </c>
      <c r="B193" s="37" t="s">
        <v>936</v>
      </c>
      <c r="C193" s="37" t="s">
        <v>700</v>
      </c>
      <c r="D193" s="38">
        <f>ROUND(SUMIF(RV_DATA!AB173:AB272, 995884265, RV_DATA!I173:I272), 6)</f>
        <v>0.18105599999999999</v>
      </c>
      <c r="E193" s="39">
        <f>ROUND(RV_DATA!K192, 2)</f>
        <v>2.67</v>
      </c>
      <c r="F193" s="39">
        <f>ROUND(SUMIF(RV_DATA!AB173:AB272, 995884265, RV_DATA!M173:M272), 6)</f>
        <v>0.48</v>
      </c>
      <c r="G193" s="39">
        <f>ROUND(RV_DATA!N192, 2)</f>
        <v>14.9</v>
      </c>
      <c r="H193" s="39">
        <f>ROUND(SUMIF(RV_DATA!AB173:AB272, 995884265, RV_DATA!O173:O272), 6)</f>
        <v>2.68</v>
      </c>
      <c r="AL193">
        <v>2</v>
      </c>
    </row>
    <row r="194" spans="1:38" ht="14.25" x14ac:dyDescent="0.2">
      <c r="A194" s="36" t="s">
        <v>889</v>
      </c>
      <c r="B194" s="37" t="s">
        <v>891</v>
      </c>
      <c r="C194" s="37" t="s">
        <v>700</v>
      </c>
      <c r="D194" s="38">
        <f>ROUND(SUMIF(RV_DATA!AB173:AB272, -2061922166, RV_DATA!I173:I272), 6)</f>
        <v>1.728</v>
      </c>
      <c r="E194" s="39">
        <f>ROUND(RV_DATA!K176, 2)</f>
        <v>0.66</v>
      </c>
      <c r="F194" s="39">
        <f>ROUND(SUMIF(RV_DATA!AB173:AB272, -2061922166, RV_DATA!M173:M272), 6)</f>
        <v>1.1399999999999999</v>
      </c>
      <c r="G194" s="39">
        <f>ROUND(RV_DATA!N176, 2)</f>
        <v>6.26</v>
      </c>
      <c r="H194" s="39">
        <f>ROUND(SUMIF(RV_DATA!AB173:AB272, -2061922166, RV_DATA!O173:O272), 6)</f>
        <v>10.81</v>
      </c>
      <c r="AL194">
        <v>2</v>
      </c>
    </row>
    <row r="195" spans="1:38" ht="28.5" x14ac:dyDescent="0.2">
      <c r="A195" s="36" t="s">
        <v>710</v>
      </c>
      <c r="B195" s="37" t="s">
        <v>712</v>
      </c>
      <c r="C195" s="37" t="s">
        <v>700</v>
      </c>
      <c r="D195" s="38">
        <f>ROUND(SUMIF(RV_DATA!AB173:AB272, -2144793753, RV_DATA!I173:I272), 6)</f>
        <v>1.093</v>
      </c>
      <c r="E195" s="39">
        <f>ROUND(RV_DATA!K219, 2)</f>
        <v>123.86</v>
      </c>
      <c r="F195" s="39">
        <f>ROUND(SUMIF(RV_DATA!AB173:AB272, -2144793753, RV_DATA!M173:M272), 6)</f>
        <v>135.38</v>
      </c>
      <c r="G195" s="39">
        <f>ROUND(RV_DATA!N219, 2)</f>
        <v>2147.73</v>
      </c>
      <c r="H195" s="39">
        <f>ROUND(SUMIF(RV_DATA!AB173:AB272, -2144793753, RV_DATA!O173:O272), 6)</f>
        <v>2347.4899999999998</v>
      </c>
      <c r="AL195">
        <v>2</v>
      </c>
    </row>
    <row r="196" spans="1:38" ht="14.25" x14ac:dyDescent="0.2">
      <c r="A196" s="36" t="s">
        <v>797</v>
      </c>
      <c r="B196" s="37" t="s">
        <v>799</v>
      </c>
      <c r="C196" s="37" t="s">
        <v>700</v>
      </c>
      <c r="D196" s="38">
        <f>ROUND(SUMIF(RV_DATA!AB173:AB272, 70027163, RV_DATA!I173:I272), 6)</f>
        <v>0.57840000000000003</v>
      </c>
      <c r="E196" s="39">
        <f>ROUND(RV_DATA!K258, 2)</f>
        <v>2.15</v>
      </c>
      <c r="F196" s="39">
        <f>ROUND(SUMIF(RV_DATA!AB173:AB272, 70027163, RV_DATA!M173:M272), 6)</f>
        <v>1.24</v>
      </c>
      <c r="G196" s="39">
        <f>ROUND(RV_DATA!N258, 2)</f>
        <v>12.13</v>
      </c>
      <c r="H196" s="39">
        <f>ROUND(SUMIF(RV_DATA!AB173:AB272, 70027163, RV_DATA!O173:O272), 6)</f>
        <v>6.99</v>
      </c>
      <c r="AL196">
        <v>2</v>
      </c>
    </row>
    <row r="197" spans="1:38" ht="14.25" x14ac:dyDescent="0.2">
      <c r="A197" s="36" t="s">
        <v>937</v>
      </c>
      <c r="B197" s="37" t="s">
        <v>939</v>
      </c>
      <c r="C197" s="37" t="s">
        <v>700</v>
      </c>
      <c r="D197" s="38">
        <f>ROUND(SUMIF(RV_DATA!AB173:AB272, 1910726500, RV_DATA!I173:I272), 6)</f>
        <v>4.176E-3</v>
      </c>
      <c r="E197" s="39">
        <f>ROUND(RV_DATA!K191, 2)</f>
        <v>3.28</v>
      </c>
      <c r="F197" s="39">
        <f>ROUND(SUMIF(RV_DATA!AB173:AB272, 1910726500, RV_DATA!M173:M272), 6)</f>
        <v>0.01</v>
      </c>
      <c r="G197" s="39">
        <f>ROUND(RV_DATA!N191, 2)</f>
        <v>24.5</v>
      </c>
      <c r="H197" s="39">
        <f>ROUND(SUMIF(RV_DATA!AB173:AB272, 1910726500, RV_DATA!O173:O272), 6)</f>
        <v>7.0000000000000007E-2</v>
      </c>
      <c r="AL197">
        <v>2</v>
      </c>
    </row>
    <row r="198" spans="1:38" ht="42.75" x14ac:dyDescent="0.2">
      <c r="A198" s="36" t="s">
        <v>928</v>
      </c>
      <c r="B198" s="37" t="s">
        <v>930</v>
      </c>
      <c r="C198" s="37" t="s">
        <v>700</v>
      </c>
      <c r="D198" s="38">
        <f>ROUND(SUMIF(RV_DATA!AB173:AB272, 2020853272, RV_DATA!I173:I272), 6)</f>
        <v>0.110544</v>
      </c>
      <c r="E198" s="39">
        <f>ROUND(RV_DATA!K206, 2)</f>
        <v>7.52</v>
      </c>
      <c r="F198" s="39">
        <f>ROUND(SUMIF(RV_DATA!AB173:AB272, 2020853272, RV_DATA!M173:M272), 6)</f>
        <v>0.83</v>
      </c>
      <c r="G198" s="39">
        <f>ROUND(RV_DATA!N206, 2)</f>
        <v>43.92</v>
      </c>
      <c r="H198" s="39">
        <f>ROUND(SUMIF(RV_DATA!AB173:AB272, 2020853272, RV_DATA!O173:O272), 6)</f>
        <v>4.8499999999999996</v>
      </c>
      <c r="AL198">
        <v>2</v>
      </c>
    </row>
    <row r="199" spans="1:38" ht="14.25" x14ac:dyDescent="0.2">
      <c r="A199" s="36" t="s">
        <v>958</v>
      </c>
      <c r="B199" s="37" t="s">
        <v>960</v>
      </c>
      <c r="C199" s="37" t="s">
        <v>700</v>
      </c>
      <c r="D199" s="38">
        <f>ROUND(SUMIF(RV_DATA!AB173:AB272, 447132046, RV_DATA!I173:I272), 6)</f>
        <v>1.2544</v>
      </c>
      <c r="E199" s="39">
        <f>ROUND(RV_DATA!K199, 2)</f>
        <v>1.66</v>
      </c>
      <c r="F199" s="39">
        <f>ROUND(SUMIF(RV_DATA!AB173:AB272, 447132046, RV_DATA!M173:M272), 6)</f>
        <v>2.08</v>
      </c>
      <c r="G199" s="39">
        <f>ROUND(RV_DATA!N199, 2)</f>
        <v>18.809999999999999</v>
      </c>
      <c r="H199" s="39">
        <f>ROUND(SUMIF(RV_DATA!AB173:AB272, 447132046, RV_DATA!O173:O272), 6)</f>
        <v>23.57</v>
      </c>
      <c r="AL199">
        <v>2</v>
      </c>
    </row>
    <row r="200" spans="1:38" ht="28.5" x14ac:dyDescent="0.2">
      <c r="A200" s="36" t="s">
        <v>713</v>
      </c>
      <c r="B200" s="37" t="s">
        <v>715</v>
      </c>
      <c r="C200" s="37" t="s">
        <v>700</v>
      </c>
      <c r="D200" s="38">
        <f>ROUND(SUMIF(RV_DATA!AB173:AB272, 1619992053, RV_DATA!I173:I272), 6)</f>
        <v>0.24604799999999999</v>
      </c>
      <c r="E200" s="39">
        <f>ROUND(RV_DATA!K175, 2)</f>
        <v>91.76</v>
      </c>
      <c r="F200" s="39">
        <f>ROUND(SUMIF(RV_DATA!AB173:AB272, 1619992053, RV_DATA!M173:M272), 6)</f>
        <v>22.58</v>
      </c>
      <c r="G200" s="39">
        <f>ROUND(RV_DATA!N175, 2)</f>
        <v>1305.74</v>
      </c>
      <c r="H200" s="39">
        <f>ROUND(SUMIF(RV_DATA!AB173:AB272, 1619992053, RV_DATA!O173:O272), 6)</f>
        <v>321.31</v>
      </c>
      <c r="AL200">
        <v>2</v>
      </c>
    </row>
    <row r="201" spans="1:38" ht="15" x14ac:dyDescent="0.25">
      <c r="A201" s="40" t="s">
        <v>1276</v>
      </c>
      <c r="B201" s="40"/>
      <c r="C201" s="40"/>
      <c r="D201" s="40"/>
      <c r="E201" s="41">
        <f>SUMIF(AL181:AL200, 2, F181:F200)</f>
        <v>653.50000000000011</v>
      </c>
      <c r="F201" s="41"/>
      <c r="G201" s="41">
        <f>SUMIF(AL181:AL200, 2, H181:H200)</f>
        <v>7951.74</v>
      </c>
      <c r="H201" s="40"/>
    </row>
    <row r="202" spans="1:38" ht="14.25" x14ac:dyDescent="0.2">
      <c r="A202" s="34" t="s">
        <v>1277</v>
      </c>
      <c r="B202" s="35"/>
      <c r="C202" s="35"/>
      <c r="D202" s="35"/>
      <c r="E202" s="35"/>
      <c r="F202" s="35"/>
      <c r="G202" s="35"/>
      <c r="H202" s="35"/>
    </row>
    <row r="203" spans="1:38" ht="14.25" x14ac:dyDescent="0.2">
      <c r="A203" s="36" t="s">
        <v>839</v>
      </c>
      <c r="B203" s="37" t="s">
        <v>841</v>
      </c>
      <c r="C203" s="37" t="s">
        <v>170</v>
      </c>
      <c r="D203" s="38">
        <f>ROUND(SUMIF(RV_DATA!AB173:AB272, 1686556190, RV_DATA!I173:I272), 6)</f>
        <v>6.4999999999999994E-5</v>
      </c>
      <c r="E203" s="39">
        <f>ROUND(RV_DATA!K236, 2)</f>
        <v>37900</v>
      </c>
      <c r="F203" s="39">
        <f>ROUND(SUMIF(RV_DATA!AB173:AB272, 1686556190, RV_DATA!M173:M272), 6)</f>
        <v>2.4700000000000002</v>
      </c>
      <c r="G203" s="39">
        <f>ROUND(RV_DATA!N236, 2)</f>
        <v>231948</v>
      </c>
      <c r="H203" s="39">
        <f>ROUND(SUMIF(RV_DATA!AB173:AB272, 1686556190, RV_DATA!O173:O272), 6)</f>
        <v>15.11</v>
      </c>
      <c r="AL203">
        <v>3</v>
      </c>
    </row>
    <row r="204" spans="1:38" ht="14.25" x14ac:dyDescent="0.2">
      <c r="A204" s="36" t="s">
        <v>187</v>
      </c>
      <c r="B204" s="37" t="s">
        <v>188</v>
      </c>
      <c r="C204" s="37" t="s">
        <v>52</v>
      </c>
      <c r="D204" s="38">
        <f>ROUND(SUMIF(RV_DATA!AB173:AB272, -1112411388, RV_DATA!I173:I272), 6)</f>
        <v>0.48159999999999997</v>
      </c>
      <c r="E204" s="39">
        <f>ROUND(RV_DATA!K235, 2)</f>
        <v>6.22</v>
      </c>
      <c r="F204" s="39">
        <f>ROUND(SUMIF(RV_DATA!AB173:AB272, -1112411388, RV_DATA!M173:M272), 6)</f>
        <v>3</v>
      </c>
      <c r="G204" s="39">
        <f>ROUND(RV_DATA!N235, 2)</f>
        <v>118.62</v>
      </c>
      <c r="H204" s="39">
        <f>ROUND(SUMIF(RV_DATA!AB173:AB272, -1112411388, RV_DATA!O173:O272), 6)</f>
        <v>57.21</v>
      </c>
      <c r="AL204">
        <v>3</v>
      </c>
    </row>
    <row r="205" spans="1:38" ht="28.5" x14ac:dyDescent="0.2">
      <c r="A205" s="36" t="s">
        <v>842</v>
      </c>
      <c r="B205" s="37" t="s">
        <v>844</v>
      </c>
      <c r="C205" s="37" t="s">
        <v>170</v>
      </c>
      <c r="D205" s="38">
        <f>ROUND(SUMIF(RV_DATA!AB173:AB272, -456759606, RV_DATA!I173:I272), 6)</f>
        <v>1.9799999999999999E-4</v>
      </c>
      <c r="E205" s="39">
        <f>ROUND(RV_DATA!K189, 2)</f>
        <v>4455</v>
      </c>
      <c r="F205" s="39">
        <f>ROUND(SUMIF(RV_DATA!AB173:AB272, -456759606, RV_DATA!M173:M272), 6)</f>
        <v>0.88</v>
      </c>
      <c r="G205" s="39">
        <f>ROUND(RV_DATA!N189, 2)</f>
        <v>31452.3</v>
      </c>
      <c r="H205" s="39">
        <f>ROUND(SUMIF(RV_DATA!AB173:AB272, -456759606, RV_DATA!O173:O272), 6)</f>
        <v>6.21</v>
      </c>
      <c r="AL205">
        <v>3</v>
      </c>
    </row>
    <row r="206" spans="1:38" ht="14.25" x14ac:dyDescent="0.2">
      <c r="A206" s="36" t="s">
        <v>730</v>
      </c>
      <c r="B206" s="37" t="s">
        <v>732</v>
      </c>
      <c r="C206" s="37" t="s">
        <v>170</v>
      </c>
      <c r="D206" s="38">
        <f>ROUND(SUMIF(RV_DATA!AB173:AB272, -1962895299, RV_DATA!I173:I272), 6)</f>
        <v>2.9E-5</v>
      </c>
      <c r="E206" s="39">
        <f>ROUND(RV_DATA!K188, 2)</f>
        <v>10200</v>
      </c>
      <c r="F206" s="39">
        <f>ROUND(SUMIF(RV_DATA!AB173:AB272, -1962895299, RV_DATA!M173:M272), 6)</f>
        <v>0.3</v>
      </c>
      <c r="G206" s="39">
        <f>ROUND(RV_DATA!N188, 2)</f>
        <v>76806</v>
      </c>
      <c r="H206" s="39">
        <f>ROUND(SUMIF(RV_DATA!AB173:AB272, -1962895299, RV_DATA!O173:O272), 6)</f>
        <v>2.2599999999999998</v>
      </c>
      <c r="AL206">
        <v>3</v>
      </c>
    </row>
    <row r="207" spans="1:38" ht="14.25" x14ac:dyDescent="0.2">
      <c r="A207" s="36" t="s">
        <v>845</v>
      </c>
      <c r="B207" s="37" t="s">
        <v>847</v>
      </c>
      <c r="C207" s="37" t="s">
        <v>170</v>
      </c>
      <c r="D207" s="38">
        <f>ROUND(SUMIF(RV_DATA!AB173:AB272, -376595282, RV_DATA!I173:I272), 6)</f>
        <v>1.2780000000000001E-3</v>
      </c>
      <c r="E207" s="39">
        <f>ROUND(RV_DATA!K233, 2)</f>
        <v>5191</v>
      </c>
      <c r="F207" s="39">
        <f>ROUND(SUMIF(RV_DATA!AB173:AB272, -376595282, RV_DATA!M173:M272), 6)</f>
        <v>6.63</v>
      </c>
      <c r="G207" s="39">
        <f>ROUND(RV_DATA!N233, 2)</f>
        <v>72674</v>
      </c>
      <c r="H207" s="39">
        <f>ROUND(SUMIF(RV_DATA!AB173:AB272, -376595282, RV_DATA!O173:O272), 6)</f>
        <v>92.82</v>
      </c>
      <c r="AL207">
        <v>3</v>
      </c>
    </row>
    <row r="208" spans="1:38" ht="14.25" x14ac:dyDescent="0.2">
      <c r="A208" s="36" t="s">
        <v>912</v>
      </c>
      <c r="B208" s="37" t="s">
        <v>914</v>
      </c>
      <c r="C208" s="37" t="s">
        <v>170</v>
      </c>
      <c r="D208" s="38">
        <f>ROUND(SUMIF(RV_DATA!AB173:AB272, 1673140179, RV_DATA!I173:I272), 6)</f>
        <v>9.0399999999999996E-4</v>
      </c>
      <c r="E208" s="39">
        <f>ROUND(RV_DATA!K232, 2)</f>
        <v>9750</v>
      </c>
      <c r="F208" s="39">
        <f>ROUND(SUMIF(RV_DATA!AB173:AB272, 1673140179, RV_DATA!M173:M272), 6)</f>
        <v>8.81</v>
      </c>
      <c r="G208" s="39">
        <f>ROUND(RV_DATA!N232, 2)</f>
        <v>119730</v>
      </c>
      <c r="H208" s="39">
        <f>ROUND(SUMIF(RV_DATA!AB173:AB272, 1673140179, RV_DATA!O173:O272), 6)</f>
        <v>108.19</v>
      </c>
      <c r="AL208">
        <v>3</v>
      </c>
    </row>
    <row r="209" spans="1:38" ht="28.5" x14ac:dyDescent="0.2">
      <c r="A209" s="36" t="s">
        <v>975</v>
      </c>
      <c r="B209" s="37" t="s">
        <v>977</v>
      </c>
      <c r="C209" s="37" t="s">
        <v>201</v>
      </c>
      <c r="D209" s="38">
        <f>ROUND(SUMIF(RV_DATA!AB173:AB272, 1315843360, RV_DATA!I173:I272), 6)</f>
        <v>3.2927999999999999E-2</v>
      </c>
      <c r="E209" s="39">
        <f>ROUND(RV_DATA!K213, 2)</f>
        <v>72.319999999999993</v>
      </c>
      <c r="F209" s="39">
        <f>ROUND(SUMIF(RV_DATA!AB173:AB272, 1315843360, RV_DATA!M173:M272), 6)</f>
        <v>2.38</v>
      </c>
      <c r="G209" s="39">
        <f>ROUND(RV_DATA!N213, 2)</f>
        <v>531.54999999999995</v>
      </c>
      <c r="H209" s="39">
        <f>ROUND(SUMIF(RV_DATA!AB173:AB272, 1315843360, RV_DATA!O173:O272), 6)</f>
        <v>17.489999999999998</v>
      </c>
      <c r="AL209">
        <v>3</v>
      </c>
    </row>
    <row r="210" spans="1:38" ht="14.25" x14ac:dyDescent="0.2">
      <c r="A210" s="36" t="s">
        <v>892</v>
      </c>
      <c r="B210" s="37" t="s">
        <v>894</v>
      </c>
      <c r="C210" s="37" t="s">
        <v>201</v>
      </c>
      <c r="D210" s="38">
        <f>ROUND(SUMIF(RV_DATA!AB173:AB272, -1601764222, RV_DATA!I173:I272), 6)</f>
        <v>9.7344000000000008</v>
      </c>
      <c r="E210" s="39">
        <f>ROUND(RV_DATA!K174, 2)</f>
        <v>10.199999999999999</v>
      </c>
      <c r="F210" s="39">
        <f>ROUND(SUMIF(RV_DATA!AB173:AB272, -1601764222, RV_DATA!M173:M272), 6)</f>
        <v>99.29</v>
      </c>
      <c r="G210" s="39">
        <f>ROUND(RV_DATA!N174, 2)</f>
        <v>52.22</v>
      </c>
      <c r="H210" s="39">
        <f>ROUND(SUMIF(RV_DATA!AB173:AB272, -1601764222, RV_DATA!O173:O272), 6)</f>
        <v>508.37</v>
      </c>
      <c r="AL210">
        <v>3</v>
      </c>
    </row>
    <row r="211" spans="1:38" ht="28.5" x14ac:dyDescent="0.2">
      <c r="A211" s="36" t="s">
        <v>252</v>
      </c>
      <c r="B211" s="37" t="s">
        <v>253</v>
      </c>
      <c r="C211" s="37" t="s">
        <v>170</v>
      </c>
      <c r="D211" s="38">
        <f>ROUND(SUMIF(RV_DATA!AB173:AB272, 328055112, RV_DATA!I173:I272), 6)</f>
        <v>1.402E-3</v>
      </c>
      <c r="E211" s="39">
        <f>ROUND(RV_DATA!K231, 2)</f>
        <v>9040.01</v>
      </c>
      <c r="F211" s="39">
        <f>ROUND(SUMIF(RV_DATA!AB173:AB272, 328055112, RV_DATA!M173:M272), 6)</f>
        <v>12.67</v>
      </c>
      <c r="G211" s="39">
        <f>ROUND(RV_DATA!N231, 2)</f>
        <v>208824.23</v>
      </c>
      <c r="H211" s="39">
        <f>ROUND(SUMIF(RV_DATA!AB173:AB272, 328055112, RV_DATA!O173:O272), 6)</f>
        <v>292.68</v>
      </c>
      <c r="AL211">
        <v>3</v>
      </c>
    </row>
    <row r="212" spans="1:38" ht="28.5" x14ac:dyDescent="0.2">
      <c r="A212" s="36" t="s">
        <v>252</v>
      </c>
      <c r="B212" s="37" t="s">
        <v>253</v>
      </c>
      <c r="C212" s="37" t="s">
        <v>170</v>
      </c>
      <c r="D212" s="38">
        <f>ROUND(SUMIF(RV_DATA!AB173:AB272, -70734932, RV_DATA!I173:I272), 6)</f>
        <v>3.0000000000000001E-3</v>
      </c>
      <c r="E212" s="39">
        <f>ROUND(RV_DATA!K271, 2)</f>
        <v>9040.01</v>
      </c>
      <c r="F212" s="39">
        <f>ROUND(SUMIF(RV_DATA!AB173:AB272, -70734932, RV_DATA!M173:M272), 6)</f>
        <v>27.12</v>
      </c>
      <c r="G212" s="39">
        <f>ROUND(RV_DATA!N271, 2)</f>
        <v>208824.23</v>
      </c>
      <c r="H212" s="39">
        <f>ROUND(SUMIF(RV_DATA!AB173:AB272, -70734932, RV_DATA!O173:O272), 6)</f>
        <v>626.47</v>
      </c>
      <c r="AL212">
        <v>3</v>
      </c>
    </row>
    <row r="213" spans="1:38" ht="14.25" x14ac:dyDescent="0.2">
      <c r="A213" s="36" t="s">
        <v>969</v>
      </c>
      <c r="B213" s="37" t="s">
        <v>971</v>
      </c>
      <c r="C213" s="37" t="s">
        <v>192</v>
      </c>
      <c r="D213" s="38">
        <f>ROUND(SUMIF(RV_DATA!AB173:AB272, 71052071, RV_DATA!I173:I272), 6)</f>
        <v>5.1352000000000002E-2</v>
      </c>
      <c r="E213" s="39">
        <f>ROUND(RV_DATA!K204, 2)</f>
        <v>1.82</v>
      </c>
      <c r="F213" s="39">
        <f>ROUND(SUMIF(RV_DATA!AB173:AB272, 71052071, RV_DATA!M173:M272), 6)</f>
        <v>0.09</v>
      </c>
      <c r="G213" s="39">
        <f>ROUND(RV_DATA!N204, 2)</f>
        <v>27.37</v>
      </c>
      <c r="H213" s="39">
        <f>ROUND(SUMIF(RV_DATA!AB173:AB272, 71052071, RV_DATA!O173:O272), 6)</f>
        <v>1.35</v>
      </c>
      <c r="AL213">
        <v>3</v>
      </c>
    </row>
    <row r="214" spans="1:38" ht="14.25" x14ac:dyDescent="0.2">
      <c r="A214" s="36" t="s">
        <v>851</v>
      </c>
      <c r="B214" s="37" t="s">
        <v>853</v>
      </c>
      <c r="C214" s="37" t="s">
        <v>170</v>
      </c>
      <c r="D214" s="38">
        <f>ROUND(SUMIF(RV_DATA!AB173:AB272, 1198263553, RV_DATA!I173:I272), 6)</f>
        <v>1.17E-4</v>
      </c>
      <c r="E214" s="39">
        <f>ROUND(RV_DATA!K186, 2)</f>
        <v>12936</v>
      </c>
      <c r="F214" s="39">
        <f>ROUND(SUMIF(RV_DATA!AB173:AB272, 1198263553, RV_DATA!M173:M272), 6)</f>
        <v>1.52</v>
      </c>
      <c r="G214" s="39">
        <f>ROUND(RV_DATA!N186, 2)</f>
        <v>111120.24</v>
      </c>
      <c r="H214" s="39">
        <f>ROUND(SUMIF(RV_DATA!AB173:AB272, 1198263553, RV_DATA!O173:O272), 6)</f>
        <v>13.05</v>
      </c>
      <c r="AL214">
        <v>3</v>
      </c>
    </row>
    <row r="215" spans="1:38" ht="14.25" x14ac:dyDescent="0.2">
      <c r="A215" s="36" t="s">
        <v>961</v>
      </c>
      <c r="B215" s="37" t="s">
        <v>963</v>
      </c>
      <c r="C215" s="37" t="s">
        <v>192</v>
      </c>
      <c r="D215" s="38">
        <f>ROUND(SUMIF(RV_DATA!AB173:AB272, 896622900, RV_DATA!I173:I272), 6)</f>
        <v>7.8399999999999997E-2</v>
      </c>
      <c r="E215" s="39">
        <f>ROUND(RV_DATA!K198, 2)</f>
        <v>5.71</v>
      </c>
      <c r="F215" s="39">
        <f>ROUND(SUMIF(RV_DATA!AB173:AB272, 896622900, RV_DATA!M173:M272), 6)</f>
        <v>0.45</v>
      </c>
      <c r="G215" s="39">
        <f>ROUND(RV_DATA!N198, 2)</f>
        <v>170.56</v>
      </c>
      <c r="H215" s="39">
        <f>ROUND(SUMIF(RV_DATA!AB173:AB272, 896622900, RV_DATA!O173:O272), 6)</f>
        <v>13.44</v>
      </c>
      <c r="AL215">
        <v>3</v>
      </c>
    </row>
    <row r="216" spans="1:38" ht="14.25" x14ac:dyDescent="0.2">
      <c r="A216" s="36" t="s">
        <v>812</v>
      </c>
      <c r="B216" s="37" t="s">
        <v>814</v>
      </c>
      <c r="C216" s="37" t="s">
        <v>192</v>
      </c>
      <c r="D216" s="38">
        <f>ROUND(SUMIF(RV_DATA!AB173:AB272, 1803414858, RV_DATA!I173:I272), 6)</f>
        <v>0.14448</v>
      </c>
      <c r="E216" s="39">
        <f>ROUND(RV_DATA!K229, 2)</f>
        <v>6.62</v>
      </c>
      <c r="F216" s="39">
        <f>ROUND(SUMIF(RV_DATA!AB173:AB272, 1803414858, RV_DATA!M173:M272), 6)</f>
        <v>0.96</v>
      </c>
      <c r="G216" s="39">
        <f>ROUND(RV_DATA!N229, 2)</f>
        <v>53.09</v>
      </c>
      <c r="H216" s="39">
        <f>ROUND(SUMIF(RV_DATA!AB173:AB272, 1803414858, RV_DATA!O173:O272), 6)</f>
        <v>7.7</v>
      </c>
      <c r="AL216">
        <v>3</v>
      </c>
    </row>
    <row r="217" spans="1:38" ht="14.25" x14ac:dyDescent="0.2">
      <c r="A217" s="36" t="s">
        <v>854</v>
      </c>
      <c r="B217" s="37" t="s">
        <v>856</v>
      </c>
      <c r="C217" s="37" t="s">
        <v>170</v>
      </c>
      <c r="D217" s="38">
        <f>ROUND(SUMIF(RV_DATA!AB173:AB272, 1068711965, RV_DATA!I173:I272), 6)</f>
        <v>1.9599999999999999E-4</v>
      </c>
      <c r="E217" s="39">
        <f>ROUND(RV_DATA!K228, 2)</f>
        <v>9420</v>
      </c>
      <c r="F217" s="39">
        <f>ROUND(SUMIF(RV_DATA!AB173:AB272, 1068711965, RV_DATA!M173:M272), 6)</f>
        <v>1.85</v>
      </c>
      <c r="G217" s="39">
        <f>ROUND(RV_DATA!N228, 2)</f>
        <v>72063</v>
      </c>
      <c r="H217" s="39">
        <f>ROUND(SUMIF(RV_DATA!AB173:AB272, 1068711965, RV_DATA!O173:O272), 6)</f>
        <v>14.15</v>
      </c>
      <c r="AL217">
        <v>3</v>
      </c>
    </row>
    <row r="218" spans="1:38" ht="14.25" x14ac:dyDescent="0.2">
      <c r="A218" s="36" t="s">
        <v>978</v>
      </c>
      <c r="B218" s="37" t="s">
        <v>980</v>
      </c>
      <c r="C218" s="37" t="s">
        <v>170</v>
      </c>
      <c r="D218" s="38">
        <f>ROUND(SUMIF(RV_DATA!AB173:AB272, 2021942029, RV_DATA!I173:I272), 6)</f>
        <v>1.176E-3</v>
      </c>
      <c r="E218" s="39">
        <f>ROUND(RV_DATA!K211, 2)</f>
        <v>4500.91</v>
      </c>
      <c r="F218" s="39">
        <f>ROUND(SUMIF(RV_DATA!AB173:AB272, 2021942029, RV_DATA!M173:M272), 6)</f>
        <v>5.29</v>
      </c>
      <c r="G218" s="39">
        <f>ROUND(RV_DATA!N211, 2)</f>
        <v>60942.32</v>
      </c>
      <c r="H218" s="39">
        <f>ROUND(SUMIF(RV_DATA!AB173:AB272, 2021942029, RV_DATA!O173:O272), 6)</f>
        <v>71.63</v>
      </c>
      <c r="AL218">
        <v>3</v>
      </c>
    </row>
    <row r="219" spans="1:38" ht="14.25" x14ac:dyDescent="0.2">
      <c r="A219" s="36" t="s">
        <v>981</v>
      </c>
      <c r="B219" s="37" t="s">
        <v>983</v>
      </c>
      <c r="C219" s="37" t="s">
        <v>170</v>
      </c>
      <c r="D219" s="38">
        <f>ROUND(SUMIF(RV_DATA!AB173:AB272, -1894416096, RV_DATA!I173:I272), 6)</f>
        <v>1.9599999999999999E-4</v>
      </c>
      <c r="E219" s="39">
        <f>ROUND(RV_DATA!K210, 2)</f>
        <v>11568.05</v>
      </c>
      <c r="F219" s="39">
        <f>ROUND(SUMIF(RV_DATA!AB173:AB272, -1894416096, RV_DATA!M173:M272), 6)</f>
        <v>2.27</v>
      </c>
      <c r="G219" s="39">
        <f>ROUND(RV_DATA!N210, 2)</f>
        <v>74382.559999999998</v>
      </c>
      <c r="H219" s="39">
        <f>ROUND(SUMIF(RV_DATA!AB173:AB272, -1894416096, RV_DATA!O173:O272), 6)</f>
        <v>14.6</v>
      </c>
      <c r="AL219">
        <v>3</v>
      </c>
    </row>
    <row r="220" spans="1:38" ht="14.25" x14ac:dyDescent="0.2">
      <c r="A220" s="36" t="s">
        <v>463</v>
      </c>
      <c r="B220" s="37" t="s">
        <v>464</v>
      </c>
      <c r="C220" s="37" t="s">
        <v>170</v>
      </c>
      <c r="D220" s="38">
        <f>ROUND(SUMIF(RV_DATA!AB173:AB272, -705689634, RV_DATA!I173:I272), 6)</f>
        <v>0.29120000000000001</v>
      </c>
      <c r="E220" s="39">
        <f>ROUND(RV_DATA!K244, 2)</f>
        <v>4973.5</v>
      </c>
      <c r="F220" s="39">
        <f>ROUND(SUMIF(RV_DATA!AB173:AB272, -705689634, RV_DATA!M173:M272), 6)</f>
        <v>1448.28</v>
      </c>
      <c r="G220" s="39">
        <f>ROUND(RV_DATA!N244, 2)</f>
        <v>69629</v>
      </c>
      <c r="H220" s="39">
        <f>ROUND(SUMIF(RV_DATA!AB173:AB272, -705689634, RV_DATA!O173:O272), 6)</f>
        <v>20275.96</v>
      </c>
      <c r="AL220">
        <v>3</v>
      </c>
    </row>
    <row r="221" spans="1:38" ht="14.25" x14ac:dyDescent="0.2">
      <c r="A221" s="36" t="s">
        <v>972</v>
      </c>
      <c r="B221" s="37" t="s">
        <v>974</v>
      </c>
      <c r="C221" s="37" t="s">
        <v>192</v>
      </c>
      <c r="D221" s="38">
        <f>ROUND(SUMIF(RV_DATA!AB173:AB272, -896756813, RV_DATA!I173:I272), 6)</f>
        <v>1.3249599999999999</v>
      </c>
      <c r="E221" s="39">
        <f>ROUND(RV_DATA!K203, 2)</f>
        <v>15.47</v>
      </c>
      <c r="F221" s="39">
        <f>ROUND(SUMIF(RV_DATA!AB173:AB272, -896756813, RV_DATA!M173:M272), 6)</f>
        <v>20.5</v>
      </c>
      <c r="G221" s="39">
        <f>ROUND(RV_DATA!N203, 2)</f>
        <v>78.430000000000007</v>
      </c>
      <c r="H221" s="39">
        <f>ROUND(SUMIF(RV_DATA!AB173:AB272, -896756813, RV_DATA!O173:O272), 6)</f>
        <v>103.94</v>
      </c>
      <c r="AL221">
        <v>3</v>
      </c>
    </row>
    <row r="222" spans="1:38" ht="28.5" x14ac:dyDescent="0.2">
      <c r="A222" s="36" t="s">
        <v>473</v>
      </c>
      <c r="B222" s="37" t="s">
        <v>474</v>
      </c>
      <c r="C222" s="37" t="s">
        <v>475</v>
      </c>
      <c r="D222" s="38">
        <f>ROUND(SUMIF(RV_DATA!AB173:AB272, -1140152458, RV_DATA!I173:I272), 6)</f>
        <v>20</v>
      </c>
      <c r="E222" s="39">
        <f>ROUND(RV_DATA!K267, 2)</f>
        <v>4.16</v>
      </c>
      <c r="F222" s="39">
        <f>ROUND(SUMIF(RV_DATA!AB173:AB272, -1140152458, RV_DATA!M173:M272), 6)</f>
        <v>83.2</v>
      </c>
      <c r="G222" s="39">
        <f>ROUND(RV_DATA!N267, 2)</f>
        <v>26.75</v>
      </c>
      <c r="H222" s="39">
        <f>ROUND(SUMIF(RV_DATA!AB173:AB272, -1140152458, RV_DATA!O173:O272), 6)</f>
        <v>534.98</v>
      </c>
      <c r="AL222">
        <v>3</v>
      </c>
    </row>
    <row r="223" spans="1:38" ht="28.5" x14ac:dyDescent="0.2">
      <c r="A223" s="36" t="s">
        <v>478</v>
      </c>
      <c r="B223" s="37" t="s">
        <v>479</v>
      </c>
      <c r="C223" s="37" t="s">
        <v>170</v>
      </c>
      <c r="D223" s="38">
        <f>ROUND(SUMIF(RV_DATA!AB173:AB272, -689911822, RV_DATA!I173:I272), 6)</f>
        <v>0.11328000000000001</v>
      </c>
      <c r="E223" s="39">
        <f>ROUND(RV_DATA!K268, 2)</f>
        <v>11775.78</v>
      </c>
      <c r="F223" s="39">
        <f>ROUND(SUMIF(RV_DATA!AB173:AB272, -689911822, RV_DATA!M173:M272), 6)</f>
        <v>1333.96</v>
      </c>
      <c r="G223" s="39">
        <f>ROUND(RV_DATA!N268, 2)</f>
        <v>139307.48000000001</v>
      </c>
      <c r="H223" s="39">
        <f>ROUND(SUMIF(RV_DATA!AB173:AB272, -689911822, RV_DATA!O173:O272), 6)</f>
        <v>15780.75</v>
      </c>
      <c r="AL223">
        <v>3</v>
      </c>
    </row>
    <row r="224" spans="1:38" ht="42.75" x14ac:dyDescent="0.2">
      <c r="A224" s="36" t="s">
        <v>857</v>
      </c>
      <c r="B224" s="37" t="s">
        <v>859</v>
      </c>
      <c r="C224" s="37" t="s">
        <v>52</v>
      </c>
      <c r="D224" s="38">
        <f>ROUND(SUMIF(RV_DATA!AB173:AB272, -1697308160, RV_DATA!I173:I272), 6)</f>
        <v>6.1200000000000002E-4</v>
      </c>
      <c r="E224" s="39">
        <f>ROUND(RV_DATA!K227, 2)</f>
        <v>1421</v>
      </c>
      <c r="F224" s="39">
        <f>ROUND(SUMIF(RV_DATA!AB173:AB272, -1697308160, RV_DATA!M173:M272), 6)</f>
        <v>0.87</v>
      </c>
      <c r="G224" s="39">
        <f>ROUND(RV_DATA!N227, 2)</f>
        <v>18572.47</v>
      </c>
      <c r="H224" s="39">
        <f>ROUND(SUMIF(RV_DATA!AB173:AB272, -1697308160, RV_DATA!O173:O272), 6)</f>
        <v>11.37</v>
      </c>
      <c r="AL224">
        <v>3</v>
      </c>
    </row>
    <row r="225" spans="1:38" ht="42.75" x14ac:dyDescent="0.2">
      <c r="A225" s="36" t="s">
        <v>940</v>
      </c>
      <c r="B225" s="37" t="s">
        <v>942</v>
      </c>
      <c r="C225" s="37" t="s">
        <v>52</v>
      </c>
      <c r="D225" s="38">
        <f>ROUND(SUMIF(RV_DATA!AB173:AB272, -1462371673, RV_DATA!I173:I272), 6)</f>
        <v>3.552E-3</v>
      </c>
      <c r="E225" s="39">
        <f>ROUND(RV_DATA!K185, 2)</f>
        <v>883.19</v>
      </c>
      <c r="F225" s="39">
        <f>ROUND(SUMIF(RV_DATA!AB173:AB272, -1462371673, RV_DATA!M173:M272), 6)</f>
        <v>3.14</v>
      </c>
      <c r="G225" s="39">
        <f>ROUND(RV_DATA!N185, 2)</f>
        <v>18564.650000000001</v>
      </c>
      <c r="H225" s="39">
        <f>ROUND(SUMIF(RV_DATA!AB173:AB272, -1462371673, RV_DATA!O173:O272), 6)</f>
        <v>66</v>
      </c>
      <c r="AL225">
        <v>3</v>
      </c>
    </row>
    <row r="226" spans="1:38" ht="57" x14ac:dyDescent="0.2">
      <c r="A226" s="36" t="s">
        <v>453</v>
      </c>
      <c r="B226" s="37" t="s">
        <v>454</v>
      </c>
      <c r="C226" s="37" t="s">
        <v>368</v>
      </c>
      <c r="D226" s="38">
        <f>ROUND(SUMIF(RV_DATA!AB173:AB272, -717011946, RV_DATA!I173:I272), 6)</f>
        <v>40</v>
      </c>
      <c r="E226" s="39">
        <f>ROUND(RV_DATA!K222, 2)</f>
        <v>93.17</v>
      </c>
      <c r="F226" s="39">
        <f>ROUND(SUMIF(RV_DATA!AB173:AB272, -717011946, RV_DATA!M173:M272), 6)</f>
        <v>3726.8</v>
      </c>
      <c r="G226" s="39">
        <f>ROUND(RV_DATA!N222, 2)</f>
        <v>678.28</v>
      </c>
      <c r="H226" s="39">
        <f>ROUND(SUMIF(RV_DATA!AB173:AB272, -717011946, RV_DATA!O173:O272), 6)</f>
        <v>27131.1</v>
      </c>
      <c r="AL226">
        <v>3</v>
      </c>
    </row>
    <row r="227" spans="1:38" ht="14.25" x14ac:dyDescent="0.2">
      <c r="A227" s="36" t="s">
        <v>178</v>
      </c>
      <c r="B227" s="37" t="s">
        <v>179</v>
      </c>
      <c r="C227" s="37" t="s">
        <v>170</v>
      </c>
      <c r="D227" s="38">
        <f>ROUND(SUMIF(RV_DATA!AB173:AB272, -1628321020, RV_DATA!I173:I272), 6)</f>
        <v>2.03E-4</v>
      </c>
      <c r="E227" s="39">
        <f>ROUND(RV_DATA!K226, 2)</f>
        <v>15620</v>
      </c>
      <c r="F227" s="39">
        <f>ROUND(SUMIF(RV_DATA!AB173:AB272, -1628321020, RV_DATA!M173:M272), 6)</f>
        <v>3.17</v>
      </c>
      <c r="G227" s="39">
        <f>ROUND(RV_DATA!N226, 2)</f>
        <v>80130.600000000006</v>
      </c>
      <c r="H227" s="39">
        <f>ROUND(SUMIF(RV_DATA!AB173:AB272, -1628321020, RV_DATA!O173:O272), 6)</f>
        <v>16.260000000000002</v>
      </c>
      <c r="AL227">
        <v>3</v>
      </c>
    </row>
    <row r="228" spans="1:38" ht="28.5" x14ac:dyDescent="0.2">
      <c r="A228" s="36" t="s">
        <v>488</v>
      </c>
      <c r="B228" s="37" t="s">
        <v>489</v>
      </c>
      <c r="C228" s="37" t="s">
        <v>47</v>
      </c>
      <c r="D228" s="38">
        <f>ROUND(SUMIF(RV_DATA!AB173:AB272, 1712071410, RV_DATA!I173:I272), 6)</f>
        <v>5</v>
      </c>
      <c r="E228" s="39">
        <f>ROUND(RV_DATA!K272, 2)</f>
        <v>1186.8800000000001</v>
      </c>
      <c r="F228" s="39">
        <f>ROUND(SUMIF(RV_DATA!AB173:AB272, 1712071410, RV_DATA!M173:M272), 6)</f>
        <v>5934.4</v>
      </c>
      <c r="G228" s="39">
        <f>ROUND(RV_DATA!N272, 2)</f>
        <v>11477.13</v>
      </c>
      <c r="H228" s="39">
        <f>ROUND(SUMIF(RV_DATA!AB173:AB272, 1712071410, RV_DATA!O173:O272), 6)</f>
        <v>57385.65</v>
      </c>
      <c r="AL228">
        <v>3</v>
      </c>
    </row>
    <row r="229" spans="1:38" ht="71.25" x14ac:dyDescent="0.2">
      <c r="A229" s="36" t="s">
        <v>860</v>
      </c>
      <c r="B229" s="37" t="s">
        <v>862</v>
      </c>
      <c r="C229" s="37" t="s">
        <v>170</v>
      </c>
      <c r="D229" s="38">
        <f>ROUND(SUMIF(RV_DATA!AB173:AB272, 161394910, RV_DATA!I173:I272), 6)</f>
        <v>2.6689999999999999E-3</v>
      </c>
      <c r="E229" s="39">
        <f>ROUND(RV_DATA!K225, 2)</f>
        <v>7712</v>
      </c>
      <c r="F229" s="39">
        <f>ROUND(SUMIF(RV_DATA!AB173:AB272, 161394910, RV_DATA!M173:M272), 6)</f>
        <v>20.58</v>
      </c>
      <c r="G229" s="39">
        <f>ROUND(RV_DATA!N225, 2)</f>
        <v>119227.52</v>
      </c>
      <c r="H229" s="39">
        <f>ROUND(SUMIF(RV_DATA!AB173:AB272, 161394910, RV_DATA!O173:O272), 6)</f>
        <v>318.17</v>
      </c>
      <c r="AL229">
        <v>3</v>
      </c>
    </row>
    <row r="230" spans="1:38" ht="14.25" x14ac:dyDescent="0.2">
      <c r="A230" s="36" t="s">
        <v>716</v>
      </c>
      <c r="B230" s="37" t="s">
        <v>718</v>
      </c>
      <c r="C230" s="37" t="s">
        <v>368</v>
      </c>
      <c r="D230" s="38">
        <f>ROUND(SUMIF(RV_DATA!AB173:AB272, -209125875, RV_DATA!I173:I272), 6)</f>
        <v>5.59</v>
      </c>
      <c r="E230" s="39">
        <f>ROUND(RV_DATA!K217, 2)</f>
        <v>4.2300000000000004</v>
      </c>
      <c r="F230" s="39">
        <f>ROUND(SUMIF(RV_DATA!AB173:AB272, -209125875, RV_DATA!M173:M272), 6)</f>
        <v>23.65</v>
      </c>
      <c r="G230" s="39">
        <f>ROUND(RV_DATA!N217, 2)</f>
        <v>43.74</v>
      </c>
      <c r="H230" s="39">
        <f>ROUND(SUMIF(RV_DATA!AB173:AB272, -209125875, RV_DATA!O173:O272), 6)</f>
        <v>244.54</v>
      </c>
      <c r="AL230">
        <v>3</v>
      </c>
    </row>
    <row r="231" spans="1:38" ht="14.25" x14ac:dyDescent="0.2">
      <c r="A231" s="36" t="s">
        <v>943</v>
      </c>
      <c r="B231" s="37" t="s">
        <v>945</v>
      </c>
      <c r="C231" s="37" t="s">
        <v>201</v>
      </c>
      <c r="D231" s="38">
        <f>ROUND(SUMIF(RV_DATA!AB173:AB272, 1686487120, RV_DATA!I173:I272), 6)</f>
        <v>0.30768000000000001</v>
      </c>
      <c r="E231" s="39">
        <f>ROUND(RV_DATA!K184, 2)</f>
        <v>35.53</v>
      </c>
      <c r="F231" s="39">
        <f>ROUND(SUMIF(RV_DATA!AB173:AB272, 1686487120, RV_DATA!M173:M272), 6)</f>
        <v>10.93</v>
      </c>
      <c r="G231" s="39">
        <f>ROUND(RV_DATA!N184, 2)</f>
        <v>661.21</v>
      </c>
      <c r="H231" s="39">
        <f>ROUND(SUMIF(RV_DATA!AB173:AB272, 1686487120, RV_DATA!O173:O272), 6)</f>
        <v>203.41</v>
      </c>
      <c r="AL231">
        <v>3</v>
      </c>
    </row>
    <row r="232" spans="1:38" ht="28.5" x14ac:dyDescent="0.2">
      <c r="A232" s="36" t="s">
        <v>897</v>
      </c>
      <c r="B232" s="37" t="s">
        <v>899</v>
      </c>
      <c r="C232" s="37" t="s">
        <v>170</v>
      </c>
      <c r="D232" s="38">
        <f>ROUND(SUMIF(RV_DATA!AB173:AB272, 1126326699, RV_DATA!I173:I272), 6)</f>
        <v>2.1600000000000001E-2</v>
      </c>
      <c r="E232" s="39">
        <f>ROUND(RV_DATA!K183, 2)</f>
        <v>5734.75</v>
      </c>
      <c r="F232" s="39">
        <f>ROUND(SUMIF(RV_DATA!AB173:AB272, 1126326699, RV_DATA!M173:M272), 6)</f>
        <v>123.87</v>
      </c>
      <c r="G232" s="39">
        <f>ROUND(RV_DATA!N183, 2)</f>
        <v>68931.7</v>
      </c>
      <c r="H232" s="39">
        <f>ROUND(SUMIF(RV_DATA!AB173:AB272, 1126326699, RV_DATA!O173:O272), 6)</f>
        <v>1488.92</v>
      </c>
      <c r="AL232">
        <v>3</v>
      </c>
    </row>
    <row r="233" spans="1:38" ht="28.5" x14ac:dyDescent="0.2">
      <c r="A233" s="36" t="s">
        <v>412</v>
      </c>
      <c r="B233" s="37" t="s">
        <v>413</v>
      </c>
      <c r="C233" s="37" t="s">
        <v>52</v>
      </c>
      <c r="D233" s="38">
        <f>ROUND(SUMIF(RV_DATA!AB173:AB272, 735632363, RV_DATA!I173:I272), 6)</f>
        <v>4.7931999999999997</v>
      </c>
      <c r="E233" s="39">
        <f>ROUND(RV_DATA!K179, 2)</f>
        <v>633</v>
      </c>
      <c r="F233" s="39">
        <f>ROUND(SUMIF(RV_DATA!AB173:AB272, 735632363, RV_DATA!M173:M272), 6)</f>
        <v>3034.1</v>
      </c>
      <c r="G233" s="39">
        <f>ROUND(RV_DATA!N179, 2)</f>
        <v>7064.28</v>
      </c>
      <c r="H233" s="39">
        <f>ROUND(SUMIF(RV_DATA!AB173:AB272, 735632363, RV_DATA!O173:O272), 6)</f>
        <v>33860.53</v>
      </c>
      <c r="AL233">
        <v>3</v>
      </c>
    </row>
    <row r="234" spans="1:38" ht="28.5" x14ac:dyDescent="0.2">
      <c r="A234" s="36" t="s">
        <v>946</v>
      </c>
      <c r="B234" s="37" t="s">
        <v>948</v>
      </c>
      <c r="C234" s="37" t="s">
        <v>170</v>
      </c>
      <c r="D234" s="38">
        <f>ROUND(SUMIF(RV_DATA!AB173:AB272, 1323157938, RV_DATA!I173:I272), 6)</f>
        <v>1.2999999999999999E-4</v>
      </c>
      <c r="E234" s="39">
        <f>ROUND(RV_DATA!K181, 2)</f>
        <v>489.82</v>
      </c>
      <c r="F234" s="39">
        <f>ROUND(SUMIF(RV_DATA!AB173:AB272, 1323157938, RV_DATA!M173:M272), 6)</f>
        <v>0.06</v>
      </c>
      <c r="G234" s="39">
        <f>ROUND(RV_DATA!N181, 2)</f>
        <v>5221.4799999999996</v>
      </c>
      <c r="H234" s="39">
        <f>ROUND(SUMIF(RV_DATA!AB173:AB272, 1323157938, RV_DATA!O173:O272), 6)</f>
        <v>0.64</v>
      </c>
      <c r="AL234">
        <v>3</v>
      </c>
    </row>
    <row r="235" spans="1:38" ht="14.25" x14ac:dyDescent="0.2">
      <c r="A235" s="36" t="s">
        <v>883</v>
      </c>
      <c r="B235" s="37" t="s">
        <v>885</v>
      </c>
      <c r="C235" s="37" t="s">
        <v>52</v>
      </c>
      <c r="D235" s="38">
        <f>ROUND(SUMIF(RV_DATA!AB173:AB272, 868455164, RV_DATA!I173:I272), 6)</f>
        <v>8.8109000000000007E-2</v>
      </c>
      <c r="E235" s="39">
        <f>ROUND(RV_DATA!K173, 2)</f>
        <v>2.4700000000000002</v>
      </c>
      <c r="F235" s="39">
        <f>ROUND(SUMIF(RV_DATA!AB173:AB272, 868455164, RV_DATA!M173:M272), 6)</f>
        <v>0.22</v>
      </c>
      <c r="G235" s="39">
        <f>ROUND(RV_DATA!N173, 2)</f>
        <v>19.59</v>
      </c>
      <c r="H235" s="39">
        <f>ROUND(SUMIF(RV_DATA!AB173:AB272, 868455164, RV_DATA!O173:O272), 6)</f>
        <v>1.75</v>
      </c>
      <c r="AL235">
        <v>3</v>
      </c>
    </row>
    <row r="236" spans="1:38" ht="71.25" x14ac:dyDescent="0.2">
      <c r="A236" s="36" t="s">
        <v>863</v>
      </c>
      <c r="B236" s="37" t="s">
        <v>865</v>
      </c>
      <c r="C236" s="37" t="s">
        <v>866</v>
      </c>
      <c r="D236" s="38">
        <f>ROUND(SUMIF(RV_DATA!AB173:AB272, 682266845, RV_DATA!I173:I272), 6)</f>
        <v>9.2849999999999999E-3</v>
      </c>
      <c r="E236" s="39">
        <f>ROUND(RV_DATA!K224, 2)</f>
        <v>71.5</v>
      </c>
      <c r="F236" s="39">
        <f>ROUND(SUMIF(RV_DATA!AB173:AB272, 682266845, RV_DATA!M173:M272), 6)</f>
        <v>0.66</v>
      </c>
      <c r="G236" s="39">
        <f>ROUND(RV_DATA!N224, 2)</f>
        <v>251.68</v>
      </c>
      <c r="H236" s="39">
        <f>ROUND(SUMIF(RV_DATA!AB173:AB272, 682266845, RV_DATA!O173:O272), 6)</f>
        <v>2.3199999999999998</v>
      </c>
      <c r="AL236">
        <v>3</v>
      </c>
    </row>
    <row r="237" spans="1:38" ht="15" x14ac:dyDescent="0.25">
      <c r="A237" s="40" t="s">
        <v>1278</v>
      </c>
      <c r="B237" s="40"/>
      <c r="C237" s="40"/>
      <c r="D237" s="40"/>
      <c r="E237" s="41">
        <f>SUMIF(AL203:AL236, 3, F203:F236)</f>
        <v>15944.369999999999</v>
      </c>
      <c r="F237" s="41"/>
      <c r="G237" s="41">
        <f>SUMIF(AL203:AL236, 3, H203:H236)</f>
        <v>159289.02000000002</v>
      </c>
      <c r="H237" s="40"/>
    </row>
    <row r="238" spans="1:38" ht="16.5" x14ac:dyDescent="0.2">
      <c r="A238" s="24" t="str">
        <f>CONCATENATE("Раздел: ",IF(Source!G380&lt;&gt;"Новый раздел", Source!G380, ""))</f>
        <v>Раздел: Помещение</v>
      </c>
      <c r="B238" s="25"/>
      <c r="C238" s="25"/>
      <c r="D238" s="25"/>
      <c r="E238" s="25"/>
      <c r="F238" s="25"/>
      <c r="G238" s="25"/>
      <c r="H238" s="25"/>
    </row>
    <row r="239" spans="1:38" ht="14.25" x14ac:dyDescent="0.2">
      <c r="A239" s="34" t="s">
        <v>1277</v>
      </c>
      <c r="B239" s="35"/>
      <c r="C239" s="35"/>
      <c r="D239" s="35"/>
      <c r="E239" s="35"/>
      <c r="F239" s="35"/>
      <c r="G239" s="35"/>
      <c r="H239" s="35"/>
    </row>
    <row r="240" spans="1:38" ht="14.25" x14ac:dyDescent="0.2">
      <c r="A240" s="36" t="s">
        <v>493</v>
      </c>
      <c r="B240" s="37" t="s">
        <v>494</v>
      </c>
      <c r="C240" s="37" t="s">
        <v>495</v>
      </c>
      <c r="D240" s="38">
        <f>ROUND(SUMIF(RV_DATA!AB274:AB274, 1904567778, RV_DATA!I274:I274), 6)</f>
        <v>1</v>
      </c>
      <c r="E240" s="39">
        <f>ROUND(RV_DATA!K274, 2)</f>
        <v>300000</v>
      </c>
      <c r="F240" s="39">
        <f>ROUND(SUMIF(RV_DATA!AB274:AB274, 1904567778, RV_DATA!M274:M274), 6)</f>
        <v>300000</v>
      </c>
      <c r="G240" s="39">
        <f>ROUND(RV_DATA!N274, 2)</f>
        <v>300000</v>
      </c>
      <c r="H240" s="39">
        <f>ROUND(SUMIF(RV_DATA!AB274:AB274, 1904567778, RV_DATA!O274:O274), 6)</f>
        <v>300000</v>
      </c>
      <c r="AL240">
        <v>3</v>
      </c>
    </row>
    <row r="241" spans="1:38" ht="15" x14ac:dyDescent="0.25">
      <c r="A241" s="40" t="s">
        <v>1278</v>
      </c>
      <c r="B241" s="40"/>
      <c r="C241" s="40"/>
      <c r="D241" s="40"/>
      <c r="E241" s="41">
        <f>SUMIF(AL240:AL240, 3, F240:F240)</f>
        <v>300000</v>
      </c>
      <c r="F241" s="41"/>
      <c r="G241" s="41">
        <f>SUMIF(AL240:AL240, 3, H240:H240)</f>
        <v>300000</v>
      </c>
      <c r="H241" s="40"/>
    </row>
    <row r="242" spans="1:38" ht="16.5" x14ac:dyDescent="0.2">
      <c r="A242" s="24" t="str">
        <f>CONCATENATE("Раздел: ",IF(Source!G424&lt;&gt;"Новый раздел", Source!G424, ""))</f>
        <v>Раздел: Заезд</v>
      </c>
      <c r="B242" s="25"/>
      <c r="C242" s="25"/>
      <c r="D242" s="25"/>
      <c r="E242" s="25"/>
      <c r="F242" s="25"/>
      <c r="G242" s="25"/>
      <c r="H242" s="25"/>
    </row>
    <row r="243" spans="1:38" ht="14.25" x14ac:dyDescent="0.2">
      <c r="A243" s="34" t="s">
        <v>1273</v>
      </c>
      <c r="B243" s="35"/>
      <c r="C243" s="35"/>
      <c r="D243" s="35"/>
      <c r="E243" s="35"/>
      <c r="F243" s="35"/>
      <c r="G243" s="35"/>
      <c r="H243" s="35"/>
    </row>
    <row r="244" spans="1:38" ht="14.25" x14ac:dyDescent="0.2">
      <c r="A244" s="36" t="s">
        <v>701</v>
      </c>
      <c r="B244" s="37" t="s">
        <v>702</v>
      </c>
      <c r="C244" s="37" t="s">
        <v>696</v>
      </c>
      <c r="D244" s="38">
        <f>ROUND(SUMIF(RV_DATA!AB276:AB330, -1697901350, RV_DATA!I276:I330), 6)</f>
        <v>0.35704799999999998</v>
      </c>
      <c r="E244" s="39">
        <f>ROUND(RV_DATA!K279, 2)</f>
        <v>7.29</v>
      </c>
      <c r="F244" s="39">
        <f>ROUND(SUMIF(RV_DATA!AB276:AB330, -1697901350, RV_DATA!M276:M330), 6)</f>
        <v>2.6</v>
      </c>
      <c r="G244" s="39">
        <f>ROUND(RV_DATA!N279, 2)</f>
        <v>7.29</v>
      </c>
      <c r="H244" s="39">
        <f>ROUND(SUMIF(RV_DATA!AB276:AB330, -1697901350, RV_DATA!O276:O330), 6)</f>
        <v>2.6</v>
      </c>
      <c r="AL244">
        <v>1</v>
      </c>
    </row>
    <row r="245" spans="1:38" ht="28.5" x14ac:dyDescent="0.2">
      <c r="A245" s="36" t="s">
        <v>872</v>
      </c>
      <c r="B245" s="37" t="s">
        <v>873</v>
      </c>
      <c r="C245" s="37" t="s">
        <v>696</v>
      </c>
      <c r="D245" s="38">
        <f>ROUND(SUMIF(RV_DATA!AB276:AB330, -1278510661, RV_DATA!I276:I330), 6)</f>
        <v>0.70740000000000003</v>
      </c>
      <c r="E245" s="39">
        <f>ROUND(RV_DATA!K285, 2)</f>
        <v>7.49</v>
      </c>
      <c r="F245" s="39">
        <f>ROUND(SUMIF(RV_DATA!AB276:AB330, -1278510661, RV_DATA!M276:M330), 6)</f>
        <v>5.3</v>
      </c>
      <c r="G245" s="39">
        <f>ROUND(RV_DATA!N285, 2)</f>
        <v>7.49</v>
      </c>
      <c r="H245" s="39">
        <f>ROUND(SUMIF(RV_DATA!AB276:AB330, -1278510661, RV_DATA!O276:O330), 6)</f>
        <v>5.3</v>
      </c>
      <c r="AL245">
        <v>1</v>
      </c>
    </row>
    <row r="246" spans="1:38" ht="28.5" x14ac:dyDescent="0.2">
      <c r="A246" s="36" t="s">
        <v>990</v>
      </c>
      <c r="B246" s="37" t="s">
        <v>991</v>
      </c>
      <c r="C246" s="37" t="s">
        <v>696</v>
      </c>
      <c r="D246" s="38">
        <f>ROUND(SUMIF(RV_DATA!AB276:AB330, -1940500777, RV_DATA!I276:I330), 6)</f>
        <v>1.1088</v>
      </c>
      <c r="E246" s="39">
        <f>ROUND(RV_DATA!K297, 2)</f>
        <v>7.63</v>
      </c>
      <c r="F246" s="39">
        <f>ROUND(SUMIF(RV_DATA!AB276:AB330, -1940500777, RV_DATA!M276:M330), 6)</f>
        <v>8.4600000000000009</v>
      </c>
      <c r="G246" s="39">
        <f>ROUND(RV_DATA!N297, 2)</f>
        <v>7.63</v>
      </c>
      <c r="H246" s="39">
        <f>ROUND(SUMIF(RV_DATA!AB276:AB330, -1940500777, RV_DATA!O276:O330), 6)</f>
        <v>8.4600000000000009</v>
      </c>
      <c r="AL246">
        <v>1</v>
      </c>
    </row>
    <row r="247" spans="1:38" ht="14.25" x14ac:dyDescent="0.2">
      <c r="A247" s="36" t="s">
        <v>703</v>
      </c>
      <c r="B247" s="37" t="s">
        <v>704</v>
      </c>
      <c r="C247" s="37" t="s">
        <v>696</v>
      </c>
      <c r="D247" s="38">
        <f>ROUND(SUMIF(RV_DATA!AB276:AB330, 1494462434, RV_DATA!I276:I330), 6)</f>
        <v>5.7871800000000002</v>
      </c>
      <c r="E247" s="39">
        <f>ROUND(RV_DATA!K330, 2)</f>
        <v>7.97</v>
      </c>
      <c r="F247" s="39">
        <f>ROUND(SUMIF(RV_DATA!AB276:AB330, 1494462434, RV_DATA!M276:M330), 6)</f>
        <v>46.12</v>
      </c>
      <c r="G247" s="39">
        <f>ROUND(RV_DATA!N330, 2)</f>
        <v>7.97</v>
      </c>
      <c r="H247" s="39">
        <f>ROUND(SUMIF(RV_DATA!AB276:AB330, 1494462434, RV_DATA!O276:O330), 6)</f>
        <v>46.12</v>
      </c>
      <c r="AL247">
        <v>1</v>
      </c>
    </row>
    <row r="248" spans="1:38" ht="28.5" x14ac:dyDescent="0.2">
      <c r="A248" s="36" t="s">
        <v>1016</v>
      </c>
      <c r="B248" s="37" t="s">
        <v>1017</v>
      </c>
      <c r="C248" s="37" t="s">
        <v>696</v>
      </c>
      <c r="D248" s="38">
        <f>ROUND(SUMIF(RV_DATA!AB276:AB330, 527080914, RV_DATA!I276:I330), 6)</f>
        <v>1.2446999999999999</v>
      </c>
      <c r="E248" s="39">
        <f>ROUND(RV_DATA!K324, 2)</f>
        <v>8.3800000000000008</v>
      </c>
      <c r="F248" s="39">
        <f>ROUND(SUMIF(RV_DATA!AB276:AB330, 527080914, RV_DATA!M276:M330), 6)</f>
        <v>10.43</v>
      </c>
      <c r="G248" s="39">
        <f>ROUND(RV_DATA!N324, 2)</f>
        <v>8.3800000000000008</v>
      </c>
      <c r="H248" s="39">
        <f>ROUND(SUMIF(RV_DATA!AB276:AB330, 527080914, RV_DATA!O276:O330), 6)</f>
        <v>10.43</v>
      </c>
      <c r="AL248">
        <v>1</v>
      </c>
    </row>
    <row r="249" spans="1:38" ht="15" x14ac:dyDescent="0.25">
      <c r="A249" s="40" t="s">
        <v>1274</v>
      </c>
      <c r="B249" s="40"/>
      <c r="C249" s="40"/>
      <c r="D249" s="40"/>
      <c r="E249" s="41">
        <f>SUMIF(AL244:AL248, 1, F244:F248)</f>
        <v>72.91</v>
      </c>
      <c r="F249" s="41"/>
      <c r="G249" s="41">
        <f>SUMIF(AL244:AL248, 1, H244:H248)</f>
        <v>72.91</v>
      </c>
      <c r="H249" s="40"/>
    </row>
    <row r="250" spans="1:38" ht="14.25" x14ac:dyDescent="0.2">
      <c r="A250" s="34" t="s">
        <v>1275</v>
      </c>
      <c r="B250" s="35"/>
      <c r="C250" s="35"/>
      <c r="D250" s="35"/>
      <c r="E250" s="35"/>
      <c r="F250" s="35"/>
      <c r="G250" s="35"/>
      <c r="H250" s="35"/>
    </row>
    <row r="251" spans="1:38" ht="14.25" x14ac:dyDescent="0.2">
      <c r="A251" s="36" t="s">
        <v>774</v>
      </c>
      <c r="B251" s="37" t="s">
        <v>776</v>
      </c>
      <c r="C251" s="37" t="s">
        <v>700</v>
      </c>
      <c r="D251" s="38">
        <f>ROUND(SUMIF(RV_DATA!AB276:AB330, -771525458, RV_DATA!I276:I330), 6)</f>
        <v>0.38714999999999999</v>
      </c>
      <c r="E251" s="39">
        <f>ROUND(RV_DATA!K284, 2)</f>
        <v>87.24</v>
      </c>
      <c r="F251" s="39">
        <f>ROUND(SUMIF(RV_DATA!AB276:AB330, -771525458, RV_DATA!M276:M330), 6)</f>
        <v>33.78</v>
      </c>
      <c r="G251" s="39">
        <f>ROUND(RV_DATA!N284, 2)</f>
        <v>2230.73</v>
      </c>
      <c r="H251" s="39">
        <f>ROUND(SUMIF(RV_DATA!AB276:AB330, -771525458, RV_DATA!O276:O330), 6)</f>
        <v>863.76</v>
      </c>
      <c r="AL251">
        <v>2</v>
      </c>
    </row>
    <row r="252" spans="1:38" ht="28.5" x14ac:dyDescent="0.2">
      <c r="A252" s="36" t="s">
        <v>1018</v>
      </c>
      <c r="B252" s="37" t="s">
        <v>1020</v>
      </c>
      <c r="C252" s="37" t="s">
        <v>700</v>
      </c>
      <c r="D252" s="38">
        <f>ROUND(SUMIF(RV_DATA!AB276:AB330, -1160237377, RV_DATA!I276:I330), 6)</f>
        <v>0.12239999999999999</v>
      </c>
      <c r="E252" s="39">
        <f>ROUND(RV_DATA!K322, 2)</f>
        <v>0.88</v>
      </c>
      <c r="F252" s="39">
        <f>ROUND(SUMIF(RV_DATA!AB276:AB330, -1160237377, RV_DATA!M276:M330), 6)</f>
        <v>0.11</v>
      </c>
      <c r="G252" s="39">
        <f>ROUND(RV_DATA!N322, 2)</f>
        <v>6.02</v>
      </c>
      <c r="H252" s="39">
        <f>ROUND(SUMIF(RV_DATA!AB276:AB330, -1160237377, RV_DATA!O276:O330), 6)</f>
        <v>0.75</v>
      </c>
      <c r="AL252">
        <v>2</v>
      </c>
    </row>
    <row r="253" spans="1:38" ht="42.75" x14ac:dyDescent="0.2">
      <c r="A253" s="36" t="s">
        <v>1092</v>
      </c>
      <c r="B253" s="37" t="s">
        <v>1094</v>
      </c>
      <c r="C253" s="37" t="s">
        <v>700</v>
      </c>
      <c r="D253" s="38">
        <f>ROUND(SUMIF(RV_DATA!AB276:AB330, -1128244563, RV_DATA!I276:I330), 6)</f>
        <v>0.38934000000000002</v>
      </c>
      <c r="E253" s="39">
        <f>ROUND(RV_DATA!K329, 2)</f>
        <v>106.86</v>
      </c>
      <c r="F253" s="39">
        <f>ROUND(SUMIF(RV_DATA!AB276:AB330, -1128244563, RV_DATA!M276:M330), 6)</f>
        <v>41.61</v>
      </c>
      <c r="G253" s="39">
        <f>ROUND(RV_DATA!N329, 2)</f>
        <v>1365.67</v>
      </c>
      <c r="H253" s="39">
        <f>ROUND(SUMIF(RV_DATA!AB276:AB330, -1128244563, RV_DATA!O276:O330), 6)</f>
        <v>531.78</v>
      </c>
      <c r="AL253">
        <v>2</v>
      </c>
    </row>
    <row r="254" spans="1:38" ht="57" x14ac:dyDescent="0.2">
      <c r="A254" s="36" t="s">
        <v>984</v>
      </c>
      <c r="B254" s="37" t="s">
        <v>986</v>
      </c>
      <c r="C254" s="37" t="s">
        <v>700</v>
      </c>
      <c r="D254" s="38">
        <f>ROUND(SUMIF(RV_DATA!AB276:AB330, -309073364, RV_DATA!I276:I330), 6)</f>
        <v>0.83265599999999995</v>
      </c>
      <c r="E254" s="39">
        <f>ROUND(RV_DATA!K278, 2)</f>
        <v>74</v>
      </c>
      <c r="F254" s="39">
        <f>ROUND(SUMIF(RV_DATA!AB276:AB330, -309073364, RV_DATA!M276:M330), 6)</f>
        <v>61.62</v>
      </c>
      <c r="G254" s="39">
        <f>ROUND(RV_DATA!N278, 2)</f>
        <v>1396.38</v>
      </c>
      <c r="H254" s="39">
        <f>ROUND(SUMIF(RV_DATA!AB276:AB330, -309073364, RV_DATA!O276:O330), 6)</f>
        <v>1162.77</v>
      </c>
      <c r="AL254">
        <v>2</v>
      </c>
    </row>
    <row r="255" spans="1:38" ht="28.5" x14ac:dyDescent="0.2">
      <c r="A255" s="36" t="s">
        <v>763</v>
      </c>
      <c r="B255" s="37" t="s">
        <v>765</v>
      </c>
      <c r="C255" s="37" t="s">
        <v>700</v>
      </c>
      <c r="D255" s="38">
        <f>ROUND(SUMIF(RV_DATA!AB276:AB330, 836497942, RV_DATA!I276:I330), 6)</f>
        <v>0.19436999999999999</v>
      </c>
      <c r="E255" s="39">
        <f>ROUND(RV_DATA!K277, 2)</f>
        <v>102.49</v>
      </c>
      <c r="F255" s="39">
        <f>ROUND(SUMIF(RV_DATA!AB276:AB330, 836497942, RV_DATA!M276:M330), 6)</f>
        <v>19.920000000000002</v>
      </c>
      <c r="G255" s="39">
        <f>ROUND(RV_DATA!N277, 2)</f>
        <v>1506.6</v>
      </c>
      <c r="H255" s="39">
        <f>ROUND(SUMIF(RV_DATA!AB276:AB330, 836497942, RV_DATA!O276:O330), 6)</f>
        <v>292.82</v>
      </c>
      <c r="AL255">
        <v>2</v>
      </c>
    </row>
    <row r="256" spans="1:38" ht="28.5" x14ac:dyDescent="0.2">
      <c r="A256" s="36" t="s">
        <v>992</v>
      </c>
      <c r="B256" s="37" t="s">
        <v>994</v>
      </c>
      <c r="C256" s="37" t="s">
        <v>700</v>
      </c>
      <c r="D256" s="38">
        <f>ROUND(SUMIF(RV_DATA!AB276:AB330, -609583365, RV_DATA!I276:I330), 6)</f>
        <v>8.9039999999999994E-2</v>
      </c>
      <c r="E256" s="39">
        <f>ROUND(RV_DATA!K295, 2)</f>
        <v>108.37</v>
      </c>
      <c r="F256" s="39">
        <f>ROUND(SUMIF(RV_DATA!AB276:AB330, -609583365, RV_DATA!M276:M330), 6)</f>
        <v>9.65</v>
      </c>
      <c r="G256" s="39">
        <f>ROUND(RV_DATA!N295, 2)</f>
        <v>1780.52</v>
      </c>
      <c r="H256" s="39">
        <f>ROUND(SUMIF(RV_DATA!AB276:AB330, -609583365, RV_DATA!O276:O330), 6)</f>
        <v>158.55000000000001</v>
      </c>
      <c r="AL256">
        <v>2</v>
      </c>
    </row>
    <row r="257" spans="1:38" ht="14.25" x14ac:dyDescent="0.2">
      <c r="A257" s="36" t="s">
        <v>1010</v>
      </c>
      <c r="B257" s="37" t="s">
        <v>1012</v>
      </c>
      <c r="C257" s="37" t="s">
        <v>700</v>
      </c>
      <c r="D257" s="38">
        <f>ROUND(SUMIF(RV_DATA!AB276:AB330, -1815124291, RV_DATA!I276:I330), 6)</f>
        <v>7.6230000000000006E-2</v>
      </c>
      <c r="E257" s="39">
        <f>ROUND(RV_DATA!K299, 2)</f>
        <v>125.61</v>
      </c>
      <c r="F257" s="39">
        <f>ROUND(SUMIF(RV_DATA!AB276:AB330, -1815124291, RV_DATA!M276:M330), 6)</f>
        <v>9.57</v>
      </c>
      <c r="G257" s="39">
        <f>ROUND(RV_DATA!N299, 2)</f>
        <v>1543.75</v>
      </c>
      <c r="H257" s="39">
        <f>ROUND(SUMIF(RV_DATA!AB276:AB330, -1815124291, RV_DATA!O276:O330), 6)</f>
        <v>117.61</v>
      </c>
      <c r="AL257">
        <v>2</v>
      </c>
    </row>
    <row r="258" spans="1:38" ht="28.5" x14ac:dyDescent="0.2">
      <c r="A258" s="36" t="s">
        <v>874</v>
      </c>
      <c r="B258" s="37" t="s">
        <v>876</v>
      </c>
      <c r="C258" s="37" t="s">
        <v>700</v>
      </c>
      <c r="D258" s="38">
        <f>ROUND(SUMIF(RV_DATA!AB276:AB330, 151427480, RV_DATA!I276:I330), 6)</f>
        <v>0.13730999999999999</v>
      </c>
      <c r="E258" s="39">
        <f>ROUND(RV_DATA!K283, 2)</f>
        <v>155.09</v>
      </c>
      <c r="F258" s="39">
        <f>ROUND(SUMIF(RV_DATA!AB276:AB330, 151427480, RV_DATA!M276:M330), 6)</f>
        <v>21.29</v>
      </c>
      <c r="G258" s="39">
        <f>ROUND(RV_DATA!N283, 2)</f>
        <v>2357.37</v>
      </c>
      <c r="H258" s="39">
        <f>ROUND(SUMIF(RV_DATA!AB276:AB330, 151427480, RV_DATA!O276:O330), 6)</f>
        <v>323.61</v>
      </c>
      <c r="AL258">
        <v>2</v>
      </c>
    </row>
    <row r="259" spans="1:38" ht="28.5" x14ac:dyDescent="0.2">
      <c r="A259" s="36" t="s">
        <v>1095</v>
      </c>
      <c r="B259" s="37" t="s">
        <v>1097</v>
      </c>
      <c r="C259" s="37" t="s">
        <v>700</v>
      </c>
      <c r="D259" s="38">
        <f>ROUND(SUMIF(RV_DATA!AB276:AB330, -1918478925, RV_DATA!I276:I330), 6)</f>
        <v>0.4914</v>
      </c>
      <c r="E259" s="39">
        <f>ROUND(RV_DATA!K326, 2)</f>
        <v>244.83</v>
      </c>
      <c r="F259" s="39">
        <f>ROUND(SUMIF(RV_DATA!AB276:AB330, -1918478925, RV_DATA!M276:M330), 6)</f>
        <v>120.31</v>
      </c>
      <c r="G259" s="39">
        <f>ROUND(RV_DATA!N326, 2)</f>
        <v>2558.4699999999998</v>
      </c>
      <c r="H259" s="39">
        <f>ROUND(SUMIF(RV_DATA!AB276:AB330, -1918478925, RV_DATA!O276:O330), 6)</f>
        <v>1257.24</v>
      </c>
      <c r="AL259">
        <v>2</v>
      </c>
    </row>
    <row r="260" spans="1:38" ht="28.5" x14ac:dyDescent="0.2">
      <c r="A260" s="36" t="s">
        <v>995</v>
      </c>
      <c r="B260" s="37" t="s">
        <v>997</v>
      </c>
      <c r="C260" s="37" t="s">
        <v>700</v>
      </c>
      <c r="D260" s="38">
        <f>ROUND(SUMIF(RV_DATA!AB276:AB330, 1146717035, RV_DATA!I276:I330), 6)</f>
        <v>0.29099999999999998</v>
      </c>
      <c r="E260" s="39">
        <f>ROUND(RV_DATA!K293, 2)</f>
        <v>65.92</v>
      </c>
      <c r="F260" s="39">
        <f>ROUND(SUMIF(RV_DATA!AB276:AB330, 1146717035, RV_DATA!M276:M330), 6)</f>
        <v>19.18</v>
      </c>
      <c r="G260" s="39">
        <f>ROUND(RV_DATA!N293, 2)</f>
        <v>1920.91</v>
      </c>
      <c r="H260" s="39">
        <f>ROUND(SUMIF(RV_DATA!AB276:AB330, 1146717035, RV_DATA!O276:O330), 6)</f>
        <v>558.91</v>
      </c>
      <c r="AL260">
        <v>2</v>
      </c>
    </row>
    <row r="261" spans="1:38" ht="28.5" x14ac:dyDescent="0.2">
      <c r="A261" s="36" t="s">
        <v>998</v>
      </c>
      <c r="B261" s="37" t="s">
        <v>1000</v>
      </c>
      <c r="C261" s="37" t="s">
        <v>700</v>
      </c>
      <c r="D261" s="38">
        <f>ROUND(SUMIF(RV_DATA!AB276:AB330, 510355178, RV_DATA!I276:I330), 6)</f>
        <v>0.64980000000000004</v>
      </c>
      <c r="E261" s="39">
        <f>ROUND(RV_DATA!K292, 2)</f>
        <v>95.99</v>
      </c>
      <c r="F261" s="39">
        <f>ROUND(SUMIF(RV_DATA!AB276:AB330, 510355178, RV_DATA!M276:M330), 6)</f>
        <v>62.37</v>
      </c>
      <c r="G261" s="39">
        <f>ROUND(RV_DATA!N292, 2)</f>
        <v>2491.9</v>
      </c>
      <c r="H261" s="39">
        <f>ROUND(SUMIF(RV_DATA!AB276:AB330, 510355178, RV_DATA!O276:O330), 6)</f>
        <v>1619.13</v>
      </c>
      <c r="AL261">
        <v>2</v>
      </c>
    </row>
    <row r="262" spans="1:38" ht="28.5" x14ac:dyDescent="0.2">
      <c r="A262" s="36" t="s">
        <v>1021</v>
      </c>
      <c r="B262" s="37" t="s">
        <v>1023</v>
      </c>
      <c r="C262" s="37" t="s">
        <v>700</v>
      </c>
      <c r="D262" s="38">
        <f>ROUND(SUMIF(RV_DATA!AB276:AB330, 708003869, RV_DATA!I276:I330), 6)</f>
        <v>8.7900000000000006E-2</v>
      </c>
      <c r="E262" s="39">
        <f>ROUND(RV_DATA!K320, 2)</f>
        <v>214.98</v>
      </c>
      <c r="F262" s="39">
        <f>ROUND(SUMIF(RV_DATA!AB276:AB330, 708003869, RV_DATA!M276:M330), 6)</f>
        <v>18.899999999999999</v>
      </c>
      <c r="G262" s="39">
        <f>ROUND(RV_DATA!N320, 2)</f>
        <v>2581.91</v>
      </c>
      <c r="H262" s="39">
        <f>ROUND(SUMIF(RV_DATA!AB276:AB330, 708003869, RV_DATA!O276:O330), 6)</f>
        <v>226.99</v>
      </c>
      <c r="AL262">
        <v>2</v>
      </c>
    </row>
    <row r="263" spans="1:38" ht="14.25" x14ac:dyDescent="0.2">
      <c r="A263" s="36" t="s">
        <v>877</v>
      </c>
      <c r="B263" s="37" t="s">
        <v>879</v>
      </c>
      <c r="C263" s="37" t="s">
        <v>700</v>
      </c>
      <c r="D263" s="38">
        <f>ROUND(SUMIF(RV_DATA!AB276:AB330, 468207442, RV_DATA!I276:I330), 6)</f>
        <v>0.31859999999999999</v>
      </c>
      <c r="E263" s="39">
        <f>ROUND(RV_DATA!K282, 2)</f>
        <v>210.32</v>
      </c>
      <c r="F263" s="39">
        <f>ROUND(SUMIF(RV_DATA!AB276:AB330, 468207442, RV_DATA!M276:M330), 6)</f>
        <v>67.010000000000005</v>
      </c>
      <c r="G263" s="39">
        <f>ROUND(RV_DATA!N282, 2)</f>
        <v>3076.98</v>
      </c>
      <c r="H263" s="39">
        <f>ROUND(SUMIF(RV_DATA!AB276:AB330, 468207442, RV_DATA!O276:O330), 6)</f>
        <v>980.36</v>
      </c>
      <c r="AL263">
        <v>2</v>
      </c>
    </row>
    <row r="264" spans="1:38" ht="14.25" x14ac:dyDescent="0.2">
      <c r="A264" s="36" t="s">
        <v>1024</v>
      </c>
      <c r="B264" s="37" t="s">
        <v>1026</v>
      </c>
      <c r="C264" s="37" t="s">
        <v>700</v>
      </c>
      <c r="D264" s="38">
        <f>ROUND(SUMIF(RV_DATA!AB276:AB330, 1829005423, RV_DATA!I276:I330), 6)</f>
        <v>0.1386</v>
      </c>
      <c r="E264" s="39">
        <f>ROUND(RV_DATA!K319, 2)</f>
        <v>467.83</v>
      </c>
      <c r="F264" s="39">
        <f>ROUND(SUMIF(RV_DATA!AB276:AB330, 1829005423, RV_DATA!M276:M330), 6)</f>
        <v>64.84</v>
      </c>
      <c r="G264" s="39">
        <f>ROUND(RV_DATA!N319, 2)</f>
        <v>2835.05</v>
      </c>
      <c r="H264" s="39">
        <f>ROUND(SUMIF(RV_DATA!AB276:AB330, 1829005423, RV_DATA!O276:O330), 6)</f>
        <v>392.93</v>
      </c>
      <c r="AL264">
        <v>2</v>
      </c>
    </row>
    <row r="265" spans="1:38" ht="14.25" x14ac:dyDescent="0.2">
      <c r="A265" s="36" t="s">
        <v>880</v>
      </c>
      <c r="B265" s="37" t="s">
        <v>882</v>
      </c>
      <c r="C265" s="37" t="s">
        <v>700</v>
      </c>
      <c r="D265" s="38">
        <f>ROUND(SUMIF(RV_DATA!AB276:AB330, -557055019, RV_DATA!I276:I330), 6)</f>
        <v>0.1452</v>
      </c>
      <c r="E265" s="39">
        <f>ROUND(RV_DATA!K281, 2)</f>
        <v>119.25</v>
      </c>
      <c r="F265" s="39">
        <f>ROUND(SUMIF(RV_DATA!AB276:AB330, -557055019, RV_DATA!M276:M330), 6)</f>
        <v>17.309999999999999</v>
      </c>
      <c r="G265" s="39">
        <f>ROUND(RV_DATA!N281, 2)</f>
        <v>1562.18</v>
      </c>
      <c r="H265" s="39">
        <f>ROUND(SUMIF(RV_DATA!AB276:AB330, -557055019, RV_DATA!O276:O330), 6)</f>
        <v>226.77</v>
      </c>
      <c r="AL265">
        <v>2</v>
      </c>
    </row>
    <row r="266" spans="1:38" ht="14.25" x14ac:dyDescent="0.2">
      <c r="A266" s="36" t="s">
        <v>1001</v>
      </c>
      <c r="B266" s="37" t="s">
        <v>1003</v>
      </c>
      <c r="C266" s="37" t="s">
        <v>700</v>
      </c>
      <c r="D266" s="38">
        <f>ROUND(SUMIF(RV_DATA!AB276:AB330, 1308977173, RV_DATA!I276:I330), 6)</f>
        <v>1.95E-2</v>
      </c>
      <c r="E266" s="39">
        <f>ROUND(RV_DATA!K290, 2)</f>
        <v>126.1</v>
      </c>
      <c r="F266" s="39">
        <f>ROUND(SUMIF(RV_DATA!AB276:AB330, 1308977173, RV_DATA!M276:M330), 6)</f>
        <v>2.46</v>
      </c>
      <c r="G266" s="39">
        <f>ROUND(RV_DATA!N290, 2)</f>
        <v>1112.2</v>
      </c>
      <c r="H266" s="39">
        <f>ROUND(SUMIF(RV_DATA!AB276:AB330, 1308977173, RV_DATA!O276:O330), 6)</f>
        <v>21.7</v>
      </c>
      <c r="AL266">
        <v>2</v>
      </c>
    </row>
    <row r="267" spans="1:38" ht="14.25" x14ac:dyDescent="0.2">
      <c r="A267" s="36" t="s">
        <v>1027</v>
      </c>
      <c r="B267" s="37" t="s">
        <v>1029</v>
      </c>
      <c r="C267" s="37" t="s">
        <v>700</v>
      </c>
      <c r="D267" s="38">
        <f>ROUND(SUMIF(RV_DATA!AB276:AB330, 1295468557, RV_DATA!I276:I330), 6)</f>
        <v>6.6600000000000006E-2</v>
      </c>
      <c r="E267" s="39">
        <f>ROUND(RV_DATA!K317, 2)</f>
        <v>3.88</v>
      </c>
      <c r="F267" s="39">
        <f>ROUND(SUMIF(RV_DATA!AB276:AB330, 1295468557, RV_DATA!M276:M330), 6)</f>
        <v>0.26</v>
      </c>
      <c r="G267" s="39">
        <f>ROUND(RV_DATA!N317, 2)</f>
        <v>17.850000000000001</v>
      </c>
      <c r="H267" s="39">
        <f>ROUND(SUMIF(RV_DATA!AB276:AB330, 1295468557, RV_DATA!O276:O330), 6)</f>
        <v>1.2</v>
      </c>
      <c r="AL267">
        <v>2</v>
      </c>
    </row>
    <row r="268" spans="1:38" ht="42.75" x14ac:dyDescent="0.2">
      <c r="A268" s="36" t="s">
        <v>766</v>
      </c>
      <c r="B268" s="37" t="s">
        <v>768</v>
      </c>
      <c r="C268" s="37" t="s">
        <v>700</v>
      </c>
      <c r="D268" s="38">
        <f>ROUND(SUMIF(RV_DATA!AB276:AB330, 677645588, RV_DATA!I276:I330), 6)</f>
        <v>3.2099999999999997E-2</v>
      </c>
      <c r="E268" s="39">
        <f>ROUND(RV_DATA!K315, 2)</f>
        <v>1.69</v>
      </c>
      <c r="F268" s="39">
        <f>ROUND(SUMIF(RV_DATA!AB276:AB330, 677645588, RV_DATA!M276:M330), 6)</f>
        <v>0.05</v>
      </c>
      <c r="G268" s="39">
        <f>ROUND(RV_DATA!N315, 2)</f>
        <v>8.8699999999999992</v>
      </c>
      <c r="H268" s="39">
        <f>ROUND(SUMIF(RV_DATA!AB276:AB330, 677645588, RV_DATA!O276:O330), 6)</f>
        <v>0.26</v>
      </c>
      <c r="AL268">
        <v>2</v>
      </c>
    </row>
    <row r="269" spans="1:38" ht="42.75" x14ac:dyDescent="0.2">
      <c r="A269" s="36" t="s">
        <v>1033</v>
      </c>
      <c r="B269" s="37" t="s">
        <v>1035</v>
      </c>
      <c r="C269" s="37" t="s">
        <v>700</v>
      </c>
      <c r="D269" s="38">
        <f>ROUND(SUMIF(RV_DATA!AB276:AB330, 7752890, RV_DATA!I276:I330), 6)</f>
        <v>0.17610000000000001</v>
      </c>
      <c r="E269" s="39">
        <f>ROUND(RV_DATA!K314, 2)</f>
        <v>777.55</v>
      </c>
      <c r="F269" s="39">
        <f>ROUND(SUMIF(RV_DATA!AB276:AB330, 7752890, RV_DATA!M276:M330), 6)</f>
        <v>136.93</v>
      </c>
      <c r="G269" s="39">
        <f>ROUND(RV_DATA!N314, 2)</f>
        <v>3841.1</v>
      </c>
      <c r="H269" s="39">
        <f>ROUND(SUMIF(RV_DATA!AB276:AB330, 7752890, RV_DATA!O276:O330), 6)</f>
        <v>676.43</v>
      </c>
      <c r="AL269">
        <v>2</v>
      </c>
    </row>
    <row r="270" spans="1:38" ht="14.25" x14ac:dyDescent="0.2">
      <c r="A270" s="36" t="s">
        <v>1036</v>
      </c>
      <c r="B270" s="37" t="s">
        <v>1038</v>
      </c>
      <c r="C270" s="37" t="s">
        <v>700</v>
      </c>
      <c r="D270" s="38">
        <f>ROUND(SUMIF(RV_DATA!AB276:AB330, -59134999, RV_DATA!I276:I330), 6)</f>
        <v>5.5500000000000001E-2</v>
      </c>
      <c r="E270" s="39">
        <f>ROUND(RV_DATA!K313, 2)</f>
        <v>21.46</v>
      </c>
      <c r="F270" s="39">
        <f>ROUND(SUMIF(RV_DATA!AB276:AB330, -59134999, RV_DATA!M276:M330), 6)</f>
        <v>1.19</v>
      </c>
      <c r="G270" s="39">
        <f>ROUND(RV_DATA!N313, 2)</f>
        <v>144</v>
      </c>
      <c r="H270" s="39">
        <f>ROUND(SUMIF(RV_DATA!AB276:AB330, -59134999, RV_DATA!O276:O330), 6)</f>
        <v>7.98</v>
      </c>
      <c r="AL270">
        <v>2</v>
      </c>
    </row>
    <row r="271" spans="1:38" ht="28.5" x14ac:dyDescent="0.2">
      <c r="A271" s="36" t="s">
        <v>1039</v>
      </c>
      <c r="B271" s="37" t="s">
        <v>1041</v>
      </c>
      <c r="C271" s="37" t="s">
        <v>700</v>
      </c>
      <c r="D271" s="38">
        <f>ROUND(SUMIF(RV_DATA!AB276:AB330, 598748550, RV_DATA!I276:I330), 6)</f>
        <v>6.9900000000000004E-2</v>
      </c>
      <c r="E271" s="39">
        <f>ROUND(RV_DATA!K312, 2)</f>
        <v>526.5</v>
      </c>
      <c r="F271" s="39">
        <f>ROUND(SUMIF(RV_DATA!AB276:AB330, 598748550, RV_DATA!M276:M330), 6)</f>
        <v>36.799999999999997</v>
      </c>
      <c r="G271" s="39">
        <f>ROUND(RV_DATA!N312, 2)</f>
        <v>1900.67</v>
      </c>
      <c r="H271" s="39">
        <f>ROUND(SUMIF(RV_DATA!AB276:AB330, 598748550, RV_DATA!O276:O330), 6)</f>
        <v>132.85</v>
      </c>
      <c r="AL271">
        <v>2</v>
      </c>
    </row>
    <row r="272" spans="1:38" ht="42.75" x14ac:dyDescent="0.2">
      <c r="A272" s="36" t="s">
        <v>1042</v>
      </c>
      <c r="B272" s="37" t="s">
        <v>1044</v>
      </c>
      <c r="C272" s="37" t="s">
        <v>700</v>
      </c>
      <c r="D272" s="38">
        <f>ROUND(SUMIF(RV_DATA!AB276:AB330, 1296511858, RV_DATA!I276:I330), 6)</f>
        <v>5.3100000000000001E-2</v>
      </c>
      <c r="E272" s="39">
        <f>ROUND(RV_DATA!K311, 2)</f>
        <v>221.38</v>
      </c>
      <c r="F272" s="39">
        <f>ROUND(SUMIF(RV_DATA!AB276:AB330, 1296511858, RV_DATA!M276:M330), 6)</f>
        <v>11.76</v>
      </c>
      <c r="G272" s="39">
        <f>ROUND(RV_DATA!N311, 2)</f>
        <v>1788.75</v>
      </c>
      <c r="H272" s="39">
        <f>ROUND(SUMIF(RV_DATA!AB276:AB330, 1296511858, RV_DATA!O276:O330), 6)</f>
        <v>95.02</v>
      </c>
      <c r="AL272">
        <v>2</v>
      </c>
    </row>
    <row r="273" spans="1:38" ht="14.25" x14ac:dyDescent="0.2">
      <c r="A273" s="36" t="s">
        <v>1045</v>
      </c>
      <c r="B273" s="37" t="s">
        <v>1047</v>
      </c>
      <c r="C273" s="37" t="s">
        <v>700</v>
      </c>
      <c r="D273" s="38">
        <f>ROUND(SUMIF(RV_DATA!AB276:AB330, 384463737, RV_DATA!I276:I330), 6)</f>
        <v>9.8400000000000001E-2</v>
      </c>
      <c r="E273" s="39">
        <f>ROUND(RV_DATA!K310, 2)</f>
        <v>256.76</v>
      </c>
      <c r="F273" s="39">
        <f>ROUND(SUMIF(RV_DATA!AB276:AB330, 384463737, RV_DATA!M276:M330), 6)</f>
        <v>25.27</v>
      </c>
      <c r="G273" s="39">
        <f>ROUND(RV_DATA!N310, 2)</f>
        <v>824.2</v>
      </c>
      <c r="H273" s="39">
        <f>ROUND(SUMIF(RV_DATA!AB276:AB330, 384463737, RV_DATA!O276:O330), 6)</f>
        <v>81.12</v>
      </c>
      <c r="AL273">
        <v>2</v>
      </c>
    </row>
    <row r="274" spans="1:38" ht="28.5" x14ac:dyDescent="0.2">
      <c r="A274" s="36" t="s">
        <v>1048</v>
      </c>
      <c r="B274" s="37" t="s">
        <v>1050</v>
      </c>
      <c r="C274" s="37" t="s">
        <v>700</v>
      </c>
      <c r="D274" s="38">
        <f>ROUND(SUMIF(RV_DATA!AB276:AB330, 2119972385, RV_DATA!I276:I330), 6)</f>
        <v>0.123</v>
      </c>
      <c r="E274" s="39">
        <f>ROUND(RV_DATA!K309, 2)</f>
        <v>130.41999999999999</v>
      </c>
      <c r="F274" s="39">
        <f>ROUND(SUMIF(RV_DATA!AB276:AB330, 2119972385, RV_DATA!M276:M330), 6)</f>
        <v>16.04</v>
      </c>
      <c r="G274" s="39">
        <f>ROUND(RV_DATA!N309, 2)</f>
        <v>1798.49</v>
      </c>
      <c r="H274" s="39">
        <f>ROUND(SUMIF(RV_DATA!AB276:AB330, 2119972385, RV_DATA!O276:O330), 6)</f>
        <v>221.19</v>
      </c>
      <c r="AL274">
        <v>2</v>
      </c>
    </row>
    <row r="275" spans="1:38" ht="14.25" x14ac:dyDescent="0.2">
      <c r="A275" s="36" t="s">
        <v>1051</v>
      </c>
      <c r="B275" s="37" t="s">
        <v>1053</v>
      </c>
      <c r="C275" s="37" t="s">
        <v>700</v>
      </c>
      <c r="D275" s="38">
        <f>ROUND(SUMIF(RV_DATA!AB276:AB330, 1983882154, RV_DATA!I276:I330), 6)</f>
        <v>5.9999999999999995E-4</v>
      </c>
      <c r="E275" s="39">
        <f>ROUND(RV_DATA!K308, 2)</f>
        <v>119.36</v>
      </c>
      <c r="F275" s="39">
        <f>ROUND(SUMIF(RV_DATA!AB276:AB330, 1983882154, RV_DATA!M276:M330), 6)</f>
        <v>7.0000000000000007E-2</v>
      </c>
      <c r="G275" s="39">
        <f>ROUND(RV_DATA!N308, 2)</f>
        <v>1506.32</v>
      </c>
      <c r="H275" s="39">
        <f>ROUND(SUMIF(RV_DATA!AB276:AB330, 1983882154, RV_DATA!O276:O330), 6)</f>
        <v>0.88</v>
      </c>
      <c r="AL275">
        <v>2</v>
      </c>
    </row>
    <row r="276" spans="1:38" ht="15" x14ac:dyDescent="0.25">
      <c r="A276" s="40" t="s">
        <v>1276</v>
      </c>
      <c r="B276" s="40"/>
      <c r="C276" s="40"/>
      <c r="D276" s="40"/>
      <c r="E276" s="41">
        <f>SUMIF(AL251:AL275, 2, F251:F275)</f>
        <v>798.29999999999984</v>
      </c>
      <c r="F276" s="41"/>
      <c r="G276" s="41">
        <f>SUMIF(AL251:AL275, 2, H251:H275)</f>
        <v>9952.6100000000024</v>
      </c>
      <c r="H276" s="40"/>
    </row>
    <row r="277" spans="1:38" ht="14.25" x14ac:dyDescent="0.2">
      <c r="A277" s="34" t="s">
        <v>1277</v>
      </c>
      <c r="B277" s="35"/>
      <c r="C277" s="35"/>
      <c r="D277" s="35"/>
      <c r="E277" s="35"/>
      <c r="F277" s="35"/>
      <c r="G277" s="35"/>
      <c r="H277" s="35"/>
    </row>
    <row r="278" spans="1:38" ht="28.5" x14ac:dyDescent="0.2">
      <c r="A278" s="36" t="s">
        <v>1054</v>
      </c>
      <c r="B278" s="37" t="s">
        <v>1056</v>
      </c>
      <c r="C278" s="37" t="s">
        <v>170</v>
      </c>
      <c r="D278" s="38">
        <f>ROUND(SUMIF(RV_DATA!AB276:AB330, 1769814261, RV_DATA!I276:I330), 6)</f>
        <v>1.2E-5</v>
      </c>
      <c r="E278" s="39">
        <f>ROUND(RV_DATA!K307, 2)</f>
        <v>5989</v>
      </c>
      <c r="F278" s="39">
        <f>ROUND(SUMIF(RV_DATA!AB276:AB330, 1769814261, RV_DATA!M276:M330), 6)</f>
        <v>7.0000000000000007E-2</v>
      </c>
      <c r="G278" s="39">
        <f>ROUND(RV_DATA!N307, 2)</f>
        <v>60069.67</v>
      </c>
      <c r="H278" s="39">
        <f>ROUND(SUMIF(RV_DATA!AB276:AB330, 1769814261, RV_DATA!O276:O330), 6)</f>
        <v>0.7</v>
      </c>
      <c r="AL278">
        <v>3</v>
      </c>
    </row>
    <row r="279" spans="1:38" ht="28.5" x14ac:dyDescent="0.2">
      <c r="A279" s="36" t="s">
        <v>1013</v>
      </c>
      <c r="B279" s="37" t="s">
        <v>1015</v>
      </c>
      <c r="C279" s="37" t="s">
        <v>170</v>
      </c>
      <c r="D279" s="38">
        <f>ROUND(SUMIF(RV_DATA!AB276:AB330, 2077020564, RV_DATA!I276:I330), 6)</f>
        <v>2.163E-2</v>
      </c>
      <c r="E279" s="39">
        <f>ROUND(RV_DATA!K298, 2)</f>
        <v>1753</v>
      </c>
      <c r="F279" s="39">
        <f>ROUND(SUMIF(RV_DATA!AB276:AB330, 2077020564, RV_DATA!M276:M330), 6)</f>
        <v>37.92</v>
      </c>
      <c r="G279" s="39">
        <f>ROUND(RV_DATA!N298, 2)</f>
        <v>38793.89</v>
      </c>
      <c r="H279" s="39">
        <f>ROUND(SUMIF(RV_DATA!AB276:AB330, 2077020564, RV_DATA!O276:O330), 6)</f>
        <v>839.17</v>
      </c>
      <c r="AL279">
        <v>3</v>
      </c>
    </row>
    <row r="280" spans="1:38" ht="28.5" x14ac:dyDescent="0.2">
      <c r="A280" s="36" t="s">
        <v>1057</v>
      </c>
      <c r="B280" s="37" t="s">
        <v>1059</v>
      </c>
      <c r="C280" s="37" t="s">
        <v>170</v>
      </c>
      <c r="D280" s="38">
        <f>ROUND(SUMIF(RV_DATA!AB276:AB330, 406376870, RV_DATA!I276:I330), 6)</f>
        <v>6.0000000000000002E-6</v>
      </c>
      <c r="E280" s="39">
        <f>ROUND(RV_DATA!K306, 2)</f>
        <v>45130</v>
      </c>
      <c r="F280" s="39">
        <f>ROUND(SUMIF(RV_DATA!AB276:AB330, 406376870, RV_DATA!M276:M330), 6)</f>
        <v>0.27</v>
      </c>
      <c r="G280" s="39">
        <f>ROUND(RV_DATA!N306, 2)</f>
        <v>354721.8</v>
      </c>
      <c r="H280" s="39">
        <f>ROUND(SUMIF(RV_DATA!AB276:AB330, 406376870, RV_DATA!O276:O330), 6)</f>
        <v>2.12</v>
      </c>
      <c r="AL280">
        <v>3</v>
      </c>
    </row>
    <row r="281" spans="1:38" ht="14.25" x14ac:dyDescent="0.2">
      <c r="A281" s="36" t="s">
        <v>1060</v>
      </c>
      <c r="B281" s="37" t="s">
        <v>1062</v>
      </c>
      <c r="C281" s="37" t="s">
        <v>170</v>
      </c>
      <c r="D281" s="38">
        <f>ROUND(SUMIF(RV_DATA!AB276:AB330, -1448882464, RV_DATA!I276:I330), 6)</f>
        <v>2.7E-2</v>
      </c>
      <c r="E281" s="39">
        <f>ROUND(RV_DATA!K305, 2)</f>
        <v>1654.64</v>
      </c>
      <c r="F281" s="39">
        <f>ROUND(SUMIF(RV_DATA!AB276:AB330, -1448882464, RV_DATA!M276:M330), 6)</f>
        <v>44.68</v>
      </c>
      <c r="G281" s="39">
        <f>ROUND(RV_DATA!N305, 2)</f>
        <v>36269.71</v>
      </c>
      <c r="H281" s="39">
        <f>ROUND(SUMIF(RV_DATA!AB276:AB330, -1448882464, RV_DATA!O276:O330), 6)</f>
        <v>979.39</v>
      </c>
      <c r="AL281">
        <v>3</v>
      </c>
    </row>
    <row r="282" spans="1:38" ht="14.25" x14ac:dyDescent="0.2">
      <c r="A282" s="36" t="s">
        <v>1066</v>
      </c>
      <c r="B282" s="37" t="s">
        <v>353</v>
      </c>
      <c r="C282" s="37" t="s">
        <v>170</v>
      </c>
      <c r="D282" s="38">
        <f>ROUND(SUMIF(RV_DATA!AB276:AB330, -1443629656, RV_DATA!I276:I330), 6)</f>
        <v>6.0000000000000002E-5</v>
      </c>
      <c r="E282" s="39">
        <f>ROUND(RV_DATA!K303, 2)</f>
        <v>10068</v>
      </c>
      <c r="F282" s="39">
        <f>ROUND(SUMIF(RV_DATA!AB276:AB330, -1443629656, RV_DATA!M276:M330), 6)</f>
        <v>0.6</v>
      </c>
      <c r="G282" s="39">
        <f>ROUND(RV_DATA!N303, 2)</f>
        <v>104807.88</v>
      </c>
      <c r="H282" s="39">
        <f>ROUND(SUMIF(RV_DATA!AB276:AB330, -1443629656, RV_DATA!O276:O330), 6)</f>
        <v>6.25</v>
      </c>
      <c r="AL282">
        <v>3</v>
      </c>
    </row>
    <row r="283" spans="1:38" ht="14.25" x14ac:dyDescent="0.2">
      <c r="A283" s="36" t="s">
        <v>812</v>
      </c>
      <c r="B283" s="37" t="s">
        <v>814</v>
      </c>
      <c r="C283" s="37" t="s">
        <v>192</v>
      </c>
      <c r="D283" s="38">
        <f>ROUND(SUMIF(RV_DATA!AB276:AB330, 1803414858, RV_DATA!I276:I330), 6)</f>
        <v>2.5499999999999998E-2</v>
      </c>
      <c r="E283" s="39">
        <f>ROUND(RV_DATA!K302, 2)</f>
        <v>6.62</v>
      </c>
      <c r="F283" s="39">
        <f>ROUND(SUMIF(RV_DATA!AB276:AB330, 1803414858, RV_DATA!M276:M330), 6)</f>
        <v>0.17</v>
      </c>
      <c r="G283" s="39">
        <f>ROUND(RV_DATA!N302, 2)</f>
        <v>53.09</v>
      </c>
      <c r="H283" s="39">
        <f>ROUND(SUMIF(RV_DATA!AB276:AB330, 1803414858, RV_DATA!O276:O330), 6)</f>
        <v>1.36</v>
      </c>
      <c r="AL283">
        <v>3</v>
      </c>
    </row>
    <row r="284" spans="1:38" ht="42.75" x14ac:dyDescent="0.2">
      <c r="A284" s="36" t="s">
        <v>1068</v>
      </c>
      <c r="B284" s="37" t="s">
        <v>1070</v>
      </c>
      <c r="C284" s="37" t="s">
        <v>170</v>
      </c>
      <c r="D284" s="38">
        <f>ROUND(SUMIF(RV_DATA!AB276:AB330, 86001492, RV_DATA!I276:I330), 6)</f>
        <v>1.2E-5</v>
      </c>
      <c r="E284" s="39">
        <f>ROUND(RV_DATA!K301, 2)</f>
        <v>5565.03</v>
      </c>
      <c r="F284" s="39">
        <f>ROUND(SUMIF(RV_DATA!AB276:AB330, 86001492, RV_DATA!M276:M330), 6)</f>
        <v>7.0000000000000007E-2</v>
      </c>
      <c r="G284" s="39">
        <f>ROUND(RV_DATA!N301, 2)</f>
        <v>70620.23</v>
      </c>
      <c r="H284" s="39">
        <f>ROUND(SUMIF(RV_DATA!AB276:AB330, 86001492, RV_DATA!O276:O330), 6)</f>
        <v>0.89</v>
      </c>
      <c r="AL284">
        <v>3</v>
      </c>
    </row>
    <row r="285" spans="1:38" ht="42.75" x14ac:dyDescent="0.2">
      <c r="A285" s="36" t="s">
        <v>1004</v>
      </c>
      <c r="B285" s="37" t="s">
        <v>1006</v>
      </c>
      <c r="C285" s="37" t="s">
        <v>52</v>
      </c>
      <c r="D285" s="38">
        <f>ROUND(SUMIF(RV_DATA!AB276:AB330, 1564479612, RV_DATA!I276:I330), 6)</f>
        <v>0.45</v>
      </c>
      <c r="E285" s="39">
        <f>ROUND(RV_DATA!K289, 2)</f>
        <v>276.91000000000003</v>
      </c>
      <c r="F285" s="39">
        <f>ROUND(SUMIF(RV_DATA!AB276:AB330, 1564479612, RV_DATA!M276:M330), 6)</f>
        <v>124.61</v>
      </c>
      <c r="G285" s="39">
        <f>ROUND(RV_DATA!N289, 2)</f>
        <v>3968.12</v>
      </c>
      <c r="H285" s="39">
        <f>ROUND(SUMIF(RV_DATA!AB276:AB330, 1564479612, RV_DATA!O276:O330), 6)</f>
        <v>1785.66</v>
      </c>
      <c r="AL285">
        <v>3</v>
      </c>
    </row>
    <row r="286" spans="1:38" ht="42.75" x14ac:dyDescent="0.2">
      <c r="A286" s="36" t="s">
        <v>987</v>
      </c>
      <c r="B286" s="37" t="s">
        <v>989</v>
      </c>
      <c r="C286" s="37" t="s">
        <v>52</v>
      </c>
      <c r="D286" s="38">
        <f>ROUND(SUMIF(RV_DATA!AB276:AB330, 414565371, RV_DATA!I276:I330), 6)</f>
        <v>4.5600000000000003E-4</v>
      </c>
      <c r="E286" s="39">
        <f>ROUND(RV_DATA!K276, 2)</f>
        <v>269.77</v>
      </c>
      <c r="F286" s="39">
        <f>ROUND(SUMIF(RV_DATA!AB276:AB330, 414565371, RV_DATA!M276:M330), 6)</f>
        <v>0.12</v>
      </c>
      <c r="G286" s="39">
        <f>ROUND(RV_DATA!N276, 2)</f>
        <v>4024.97</v>
      </c>
      <c r="H286" s="39">
        <f>ROUND(SUMIF(RV_DATA!AB276:AB330, 414565371, RV_DATA!O276:O330), 6)</f>
        <v>1.79</v>
      </c>
      <c r="AL286">
        <v>3</v>
      </c>
    </row>
    <row r="287" spans="1:38" ht="42.75" x14ac:dyDescent="0.2">
      <c r="A287" s="36" t="s">
        <v>1007</v>
      </c>
      <c r="B287" s="37" t="s">
        <v>1009</v>
      </c>
      <c r="C287" s="37" t="s">
        <v>52</v>
      </c>
      <c r="D287" s="38">
        <f>ROUND(SUMIF(RV_DATA!AB276:AB330, 279751284, RV_DATA!I276:I330), 6)</f>
        <v>5.67</v>
      </c>
      <c r="E287" s="39">
        <f>ROUND(RV_DATA!K288, 2)</f>
        <v>256.51</v>
      </c>
      <c r="F287" s="39">
        <f>ROUND(SUMIF(RV_DATA!AB276:AB330, 279751284, RV_DATA!M276:M330), 6)</f>
        <v>1454.41</v>
      </c>
      <c r="G287" s="39">
        <f>ROUND(RV_DATA!N288, 2)</f>
        <v>3583.44</v>
      </c>
      <c r="H287" s="39">
        <f>ROUND(SUMIF(RV_DATA!AB276:AB330, 279751284, RV_DATA!O276:O330), 6)</f>
        <v>20318.11</v>
      </c>
      <c r="AL287">
        <v>3</v>
      </c>
    </row>
    <row r="288" spans="1:38" ht="28.5" x14ac:dyDescent="0.2">
      <c r="A288" s="36" t="s">
        <v>517</v>
      </c>
      <c r="B288" s="37" t="s">
        <v>518</v>
      </c>
      <c r="C288" s="37" t="s">
        <v>52</v>
      </c>
      <c r="D288" s="38">
        <f>ROUND(SUMIF(RV_DATA!AB276:AB330, -1560020902, RV_DATA!I276:I330), 6)</f>
        <v>4.95</v>
      </c>
      <c r="E288" s="39">
        <f>ROUND(RV_DATA!K286, 2)</f>
        <v>54</v>
      </c>
      <c r="F288" s="39">
        <f>ROUND(SUMIF(RV_DATA!AB276:AB330, -1560020902, RV_DATA!M276:M330), 6)</f>
        <v>267.3</v>
      </c>
      <c r="G288" s="39">
        <f>ROUND(RV_DATA!N286, 2)</f>
        <v>866.16</v>
      </c>
      <c r="H288" s="39">
        <f>ROUND(SUMIF(RV_DATA!AB276:AB330, -1560020902, RV_DATA!O276:O330), 6)</f>
        <v>4287.49</v>
      </c>
      <c r="AL288">
        <v>3</v>
      </c>
    </row>
    <row r="289" spans="1:38" ht="14.25" x14ac:dyDescent="0.2">
      <c r="A289" s="36" t="s">
        <v>535</v>
      </c>
      <c r="B289" s="37" t="s">
        <v>536</v>
      </c>
      <c r="C289" s="37" t="s">
        <v>170</v>
      </c>
      <c r="D289" s="38">
        <f>ROUND(SUMIF(RV_DATA!AB276:AB330, 343020102, RV_DATA!I276:I330), 6)</f>
        <v>6.6</v>
      </c>
      <c r="E289" s="39">
        <f>ROUND(RV_DATA!K325, 2)</f>
        <v>52.05</v>
      </c>
      <c r="F289" s="39">
        <f>ROUND(SUMIF(RV_DATA!AB276:AB330, 343020102, RV_DATA!M276:M330), 6)</f>
        <v>343.53</v>
      </c>
      <c r="G289" s="39">
        <f>ROUND(RV_DATA!N325, 2)</f>
        <v>621.48</v>
      </c>
      <c r="H289" s="39">
        <f>ROUND(SUMIF(RV_DATA!AB276:AB330, 343020102, RV_DATA!O276:O330), 6)</f>
        <v>4101.75</v>
      </c>
      <c r="AL289">
        <v>3</v>
      </c>
    </row>
    <row r="290" spans="1:38" ht="14.25" x14ac:dyDescent="0.2">
      <c r="A290" s="36" t="s">
        <v>883</v>
      </c>
      <c r="B290" s="37" t="s">
        <v>885</v>
      </c>
      <c r="C290" s="37" t="s">
        <v>52</v>
      </c>
      <c r="D290" s="38">
        <f>ROUND(SUMIF(RV_DATA!AB276:AB330, 868455164, RV_DATA!I276:I330), 6)</f>
        <v>1.7250000000000001</v>
      </c>
      <c r="E290" s="39">
        <f>ROUND(RV_DATA!K280, 2)</f>
        <v>2.4700000000000002</v>
      </c>
      <c r="F290" s="39">
        <f>ROUND(SUMIF(RV_DATA!AB276:AB330, 868455164, RV_DATA!M276:M330), 6)</f>
        <v>4.26</v>
      </c>
      <c r="G290" s="39">
        <f>ROUND(RV_DATA!N280, 2)</f>
        <v>19.59</v>
      </c>
      <c r="H290" s="39">
        <f>ROUND(SUMIF(RV_DATA!AB276:AB330, 868455164, RV_DATA!O276:O330), 6)</f>
        <v>33.78</v>
      </c>
      <c r="AL290">
        <v>3</v>
      </c>
    </row>
    <row r="291" spans="1:38" ht="15" x14ac:dyDescent="0.25">
      <c r="A291" s="40" t="s">
        <v>1278</v>
      </c>
      <c r="B291" s="40"/>
      <c r="C291" s="40"/>
      <c r="D291" s="40"/>
      <c r="E291" s="41">
        <f>SUMIF(AL278:AL290, 3, F278:F290)</f>
        <v>2278.0100000000002</v>
      </c>
      <c r="F291" s="41"/>
      <c r="G291" s="41">
        <f>SUMIF(AL278:AL290, 3, H278:H290)</f>
        <v>32358.46</v>
      </c>
      <c r="H291" s="40"/>
    </row>
    <row r="292" spans="1:38" ht="16.5" x14ac:dyDescent="0.2">
      <c r="A292" s="24" t="str">
        <f>CONCATENATE("Раздел: ",IF(Source!G478&lt;&gt;"Новый раздел", Source!G478, ""))</f>
        <v>Раздел: Туалет</v>
      </c>
      <c r="B292" s="25"/>
      <c r="C292" s="25"/>
      <c r="D292" s="25"/>
      <c r="E292" s="25"/>
      <c r="F292" s="25"/>
      <c r="G292" s="25"/>
      <c r="H292" s="25"/>
    </row>
    <row r="293" spans="1:38" ht="14.25" x14ac:dyDescent="0.2">
      <c r="A293" s="34" t="s">
        <v>1273</v>
      </c>
      <c r="B293" s="35"/>
      <c r="C293" s="35"/>
      <c r="D293" s="35"/>
      <c r="E293" s="35"/>
      <c r="F293" s="35"/>
      <c r="G293" s="35"/>
      <c r="H293" s="35"/>
    </row>
    <row r="294" spans="1:38" ht="14.25" x14ac:dyDescent="0.2">
      <c r="A294" s="36" t="s">
        <v>701</v>
      </c>
      <c r="B294" s="37" t="s">
        <v>702</v>
      </c>
      <c r="C294" s="37" t="s">
        <v>696</v>
      </c>
      <c r="D294" s="38">
        <f>ROUND(SUMIF(RV_DATA!AB332:AB385, -1697901350, RV_DATA!I332:I385), 6)</f>
        <v>4.3723999999999999E-2</v>
      </c>
      <c r="E294" s="39">
        <f>ROUND(RV_DATA!K333, 2)</f>
        <v>7.29</v>
      </c>
      <c r="F294" s="39">
        <f>ROUND(SUMIF(RV_DATA!AB332:AB385, -1697901350, RV_DATA!M332:M385), 6)</f>
        <v>0.32</v>
      </c>
      <c r="G294" s="39">
        <f>ROUND(RV_DATA!N333, 2)</f>
        <v>7.29</v>
      </c>
      <c r="H294" s="39">
        <f>ROUND(SUMIF(RV_DATA!AB332:AB385, -1697901350, RV_DATA!O332:O385), 6)</f>
        <v>0.32</v>
      </c>
      <c r="AL294">
        <v>1</v>
      </c>
    </row>
    <row r="295" spans="1:38" ht="28.5" x14ac:dyDescent="0.2">
      <c r="A295" s="36" t="s">
        <v>990</v>
      </c>
      <c r="B295" s="37" t="s">
        <v>991</v>
      </c>
      <c r="C295" s="37" t="s">
        <v>696</v>
      </c>
      <c r="D295" s="38">
        <f>ROUND(SUMIF(RV_DATA!AB332:AB385, -1940500777, RV_DATA!I332:I385), 6)</f>
        <v>0.3468</v>
      </c>
      <c r="E295" s="39">
        <f>ROUND(RV_DATA!K335, 2)</f>
        <v>7.63</v>
      </c>
      <c r="F295" s="39">
        <f>ROUND(SUMIF(RV_DATA!AB332:AB385, -1940500777, RV_DATA!M332:M385), 6)</f>
        <v>2.65</v>
      </c>
      <c r="G295" s="39">
        <f>ROUND(RV_DATA!N335, 2)</f>
        <v>7.63</v>
      </c>
      <c r="H295" s="39">
        <f>ROUND(SUMIF(RV_DATA!AB332:AB385, -1940500777, RV_DATA!O332:O385), 6)</f>
        <v>2.65</v>
      </c>
      <c r="AL295">
        <v>1</v>
      </c>
    </row>
    <row r="296" spans="1:38" ht="28.5" x14ac:dyDescent="0.2">
      <c r="A296" s="36" t="s">
        <v>1122</v>
      </c>
      <c r="B296" s="37" t="s">
        <v>1123</v>
      </c>
      <c r="C296" s="37" t="s">
        <v>696</v>
      </c>
      <c r="D296" s="38">
        <f>ROUND(SUMIF(RV_DATA!AB332:AB385, -926811309, RV_DATA!I332:I385), 6)</f>
        <v>18.899999999999999</v>
      </c>
      <c r="E296" s="39">
        <f>ROUND(RV_DATA!K365, 2)</f>
        <v>7.84</v>
      </c>
      <c r="F296" s="39">
        <f>ROUND(SUMIF(RV_DATA!AB332:AB385, -926811309, RV_DATA!M332:M385), 6)</f>
        <v>148.18</v>
      </c>
      <c r="G296" s="39">
        <f>ROUND(RV_DATA!N365, 2)</f>
        <v>7.84</v>
      </c>
      <c r="H296" s="39">
        <f>ROUND(SUMIF(RV_DATA!AB332:AB385, -926811309, RV_DATA!O332:O385), 6)</f>
        <v>148.18</v>
      </c>
      <c r="AL296">
        <v>1</v>
      </c>
    </row>
    <row r="297" spans="1:38" ht="28.5" x14ac:dyDescent="0.2">
      <c r="A297" s="36" t="s">
        <v>1145</v>
      </c>
      <c r="B297" s="37" t="s">
        <v>1146</v>
      </c>
      <c r="C297" s="37" t="s">
        <v>696</v>
      </c>
      <c r="D297" s="38">
        <f>ROUND(SUMIF(RV_DATA!AB332:AB385, 2139178510, RV_DATA!I332:I385), 6)</f>
        <v>4.3559999999999999</v>
      </c>
      <c r="E297" s="39">
        <f>ROUND(RV_DATA!K373, 2)</f>
        <v>8.07</v>
      </c>
      <c r="F297" s="39">
        <f>ROUND(SUMIF(RV_DATA!AB332:AB385, 2139178510, RV_DATA!M332:M385), 6)</f>
        <v>35.15</v>
      </c>
      <c r="G297" s="39">
        <f>ROUND(RV_DATA!N373, 2)</f>
        <v>8.07</v>
      </c>
      <c r="H297" s="39">
        <f>ROUND(SUMIF(RV_DATA!AB332:AB385, 2139178510, RV_DATA!O332:O385), 6)</f>
        <v>35.15</v>
      </c>
      <c r="AL297">
        <v>1</v>
      </c>
    </row>
    <row r="298" spans="1:38" ht="28.5" x14ac:dyDescent="0.2">
      <c r="A298" s="36" t="s">
        <v>915</v>
      </c>
      <c r="B298" s="37" t="s">
        <v>916</v>
      </c>
      <c r="C298" s="37" t="s">
        <v>696</v>
      </c>
      <c r="D298" s="38">
        <f>ROUND(SUMIF(RV_DATA!AB332:AB385, -1857114646, RV_DATA!I332:I385), 6)</f>
        <v>6.0992249999999997</v>
      </c>
      <c r="E298" s="39">
        <f>ROUND(RV_DATA!K350, 2)</f>
        <v>8.48</v>
      </c>
      <c r="F298" s="39">
        <f>ROUND(SUMIF(RV_DATA!AB332:AB385, -1857114646, RV_DATA!M332:M385), 6)</f>
        <v>51.72</v>
      </c>
      <c r="G298" s="39">
        <f>ROUND(RV_DATA!N350, 2)</f>
        <v>8.48</v>
      </c>
      <c r="H298" s="39">
        <f>ROUND(SUMIF(RV_DATA!AB332:AB385, -1857114646, RV_DATA!O332:O385), 6)</f>
        <v>51.72</v>
      </c>
      <c r="AL298">
        <v>1</v>
      </c>
    </row>
    <row r="299" spans="1:38" ht="14.25" x14ac:dyDescent="0.2">
      <c r="A299" s="36" t="s">
        <v>1168</v>
      </c>
      <c r="B299" s="37" t="s">
        <v>1169</v>
      </c>
      <c r="C299" s="37" t="s">
        <v>696</v>
      </c>
      <c r="D299" s="38">
        <f>ROUND(SUMIF(RV_DATA!AB332:AB385, 20453442, RV_DATA!I332:I385), 6)</f>
        <v>1.506</v>
      </c>
      <c r="E299" s="39">
        <f>ROUND(RV_DATA!K385, 2)</f>
        <v>10.36</v>
      </c>
      <c r="F299" s="39">
        <f>ROUND(SUMIF(RV_DATA!AB332:AB385, 20453442, RV_DATA!M332:M385), 6)</f>
        <v>15.6</v>
      </c>
      <c r="G299" s="39">
        <f>ROUND(RV_DATA!N385, 2)</f>
        <v>10.36</v>
      </c>
      <c r="H299" s="39">
        <f>ROUND(SUMIF(RV_DATA!AB332:AB385, 20453442, RV_DATA!O332:O385), 6)</f>
        <v>15.6</v>
      </c>
      <c r="AL299">
        <v>1</v>
      </c>
    </row>
    <row r="300" spans="1:38" ht="15" x14ac:dyDescent="0.25">
      <c r="A300" s="40" t="s">
        <v>1274</v>
      </c>
      <c r="B300" s="40"/>
      <c r="C300" s="40"/>
      <c r="D300" s="40"/>
      <c r="E300" s="41">
        <f>SUMIF(AL294:AL299, 1, F294:F299)</f>
        <v>253.62</v>
      </c>
      <c r="F300" s="41"/>
      <c r="G300" s="41">
        <f>SUMIF(AL294:AL299, 1, H294:H299)</f>
        <v>253.62</v>
      </c>
      <c r="H300" s="40"/>
    </row>
    <row r="301" spans="1:38" ht="14.25" x14ac:dyDescent="0.2">
      <c r="A301" s="34" t="s">
        <v>1275</v>
      </c>
      <c r="B301" s="35"/>
      <c r="C301" s="35"/>
      <c r="D301" s="35"/>
      <c r="E301" s="35"/>
      <c r="F301" s="35"/>
      <c r="G301" s="35"/>
      <c r="H301" s="35"/>
    </row>
    <row r="302" spans="1:38" ht="28.5" x14ac:dyDescent="0.2">
      <c r="A302" s="36" t="s">
        <v>886</v>
      </c>
      <c r="B302" s="37" t="s">
        <v>888</v>
      </c>
      <c r="C302" s="37" t="s">
        <v>700</v>
      </c>
      <c r="D302" s="38">
        <f>ROUND(SUMIF(RV_DATA!AB332:AB385, 925327548, RV_DATA!I332:I385), 6)</f>
        <v>9.4500000000000001E-3</v>
      </c>
      <c r="E302" s="39">
        <f>ROUND(RV_DATA!K380, 2)</f>
        <v>103.49</v>
      </c>
      <c r="F302" s="39">
        <f>ROUND(SUMIF(RV_DATA!AB332:AB385, 925327548, RV_DATA!M332:M385), 6)</f>
        <v>0.98</v>
      </c>
      <c r="G302" s="39">
        <f>ROUND(RV_DATA!N380, 2)</f>
        <v>1247.05</v>
      </c>
      <c r="H302" s="39">
        <f>ROUND(SUMIF(RV_DATA!AB332:AB385, 925327548, RV_DATA!O332:O385), 6)</f>
        <v>11.81</v>
      </c>
      <c r="AL302">
        <v>2</v>
      </c>
    </row>
    <row r="303" spans="1:38" ht="42.75" x14ac:dyDescent="0.2">
      <c r="A303" s="36" t="s">
        <v>721</v>
      </c>
      <c r="B303" s="37" t="s">
        <v>723</v>
      </c>
      <c r="C303" s="37" t="s">
        <v>700</v>
      </c>
      <c r="D303" s="38">
        <f>ROUND(SUMIF(RV_DATA!AB332:AB385, 887395808, RV_DATA!I332:I385), 6)</f>
        <v>0.45035999999999998</v>
      </c>
      <c r="E303" s="39">
        <f>ROUND(RV_DATA!K349, 2)</f>
        <v>124.14</v>
      </c>
      <c r="F303" s="39">
        <f>ROUND(SUMIF(RV_DATA!AB332:AB385, 887395808, RV_DATA!M332:M385), 6)</f>
        <v>55.9</v>
      </c>
      <c r="G303" s="39">
        <f>ROUND(RV_DATA!N349, 2)</f>
        <v>1453.68</v>
      </c>
      <c r="H303" s="39">
        <f>ROUND(SUMIF(RV_DATA!AB332:AB385, 887395808, RV_DATA!O332:O385), 6)</f>
        <v>654.59</v>
      </c>
      <c r="AL303">
        <v>2</v>
      </c>
    </row>
    <row r="304" spans="1:38" ht="14.25" x14ac:dyDescent="0.2">
      <c r="A304" s="36" t="s">
        <v>774</v>
      </c>
      <c r="B304" s="37" t="s">
        <v>776</v>
      </c>
      <c r="C304" s="37" t="s">
        <v>700</v>
      </c>
      <c r="D304" s="38">
        <f>ROUND(SUMIF(RV_DATA!AB332:AB385, -771525458, RV_DATA!I332:I385), 6)</f>
        <v>1.8620000000000001E-2</v>
      </c>
      <c r="E304" s="39">
        <f>ROUND(RV_DATA!K334, 2)</f>
        <v>87.24</v>
      </c>
      <c r="F304" s="39">
        <f>ROUND(SUMIF(RV_DATA!AB332:AB385, -771525458, RV_DATA!M332:M385), 6)</f>
        <v>1.63</v>
      </c>
      <c r="G304" s="39">
        <f>ROUND(RV_DATA!N334, 2)</f>
        <v>2230.73</v>
      </c>
      <c r="H304" s="39">
        <f>ROUND(SUMIF(RV_DATA!AB332:AB385, -771525458, RV_DATA!O332:O385), 6)</f>
        <v>41.68</v>
      </c>
      <c r="AL304">
        <v>2</v>
      </c>
    </row>
    <row r="305" spans="1:38" ht="14.25" x14ac:dyDescent="0.2">
      <c r="A305" s="36" t="s">
        <v>1098</v>
      </c>
      <c r="B305" s="37" t="s">
        <v>1100</v>
      </c>
      <c r="C305" s="37" t="s">
        <v>700</v>
      </c>
      <c r="D305" s="38">
        <f>ROUND(SUMIF(RV_DATA!AB332:AB385, -642055349, RV_DATA!I332:I385), 6)</f>
        <v>5.4599999999999996E-3</v>
      </c>
      <c r="E305" s="39">
        <f>ROUND(RV_DATA!K347, 2)</f>
        <v>29.26</v>
      </c>
      <c r="F305" s="39">
        <f>ROUND(SUMIF(RV_DATA!AB332:AB385, -642055349, RV_DATA!M332:M385), 6)</f>
        <v>0.16</v>
      </c>
      <c r="G305" s="39">
        <f>ROUND(RV_DATA!N347, 2)</f>
        <v>518.19000000000005</v>
      </c>
      <c r="H305" s="39">
        <f>ROUND(SUMIF(RV_DATA!AB332:AB385, -642055349, RV_DATA!O332:O385), 6)</f>
        <v>2.83</v>
      </c>
      <c r="AL305">
        <v>2</v>
      </c>
    </row>
    <row r="306" spans="1:38" ht="57" x14ac:dyDescent="0.2">
      <c r="A306" s="36" t="s">
        <v>984</v>
      </c>
      <c r="B306" s="37" t="s">
        <v>986</v>
      </c>
      <c r="C306" s="37" t="s">
        <v>700</v>
      </c>
      <c r="D306" s="38">
        <f>ROUND(SUMIF(RV_DATA!AB332:AB385, -309073364, RV_DATA!I332:I385), 6)</f>
        <v>0.19978399999999999</v>
      </c>
      <c r="E306" s="39">
        <f>ROUND(RV_DATA!K332, 2)</f>
        <v>74</v>
      </c>
      <c r="F306" s="39">
        <f>ROUND(SUMIF(RV_DATA!AB332:AB385, -309073364, RV_DATA!M332:M385), 6)</f>
        <v>14.78</v>
      </c>
      <c r="G306" s="39">
        <f>ROUND(RV_DATA!N332, 2)</f>
        <v>1396.38</v>
      </c>
      <c r="H306" s="39">
        <f>ROUND(SUMIF(RV_DATA!AB332:AB385, -309073364, RV_DATA!O332:O385), 6)</f>
        <v>278.89999999999998</v>
      </c>
      <c r="AL306">
        <v>2</v>
      </c>
    </row>
    <row r="307" spans="1:38" ht="14.25" x14ac:dyDescent="0.2">
      <c r="A307" s="36" t="s">
        <v>1170</v>
      </c>
      <c r="B307" s="37" t="s">
        <v>1172</v>
      </c>
      <c r="C307" s="37" t="s">
        <v>700</v>
      </c>
      <c r="D307" s="38">
        <f>ROUND(SUMIF(RV_DATA!AB332:AB385, -544898908, RV_DATA!I332:I385), 6)</f>
        <v>9.6000000000000002E-2</v>
      </c>
      <c r="E307" s="39">
        <f>ROUND(RV_DATA!K384, 2)</f>
        <v>1.98</v>
      </c>
      <c r="F307" s="39">
        <f>ROUND(SUMIF(RV_DATA!AB332:AB385, -544898908, RV_DATA!M332:M385), 6)</f>
        <v>0.19</v>
      </c>
      <c r="G307" s="39">
        <f>ROUND(RV_DATA!N384, 2)</f>
        <v>21.44</v>
      </c>
      <c r="H307" s="39">
        <f>ROUND(SUMIF(RV_DATA!AB332:AB385, -544898908, RV_DATA!O332:O385), 6)</f>
        <v>2.06</v>
      </c>
      <c r="AL307">
        <v>2</v>
      </c>
    </row>
    <row r="308" spans="1:38" ht="14.25" x14ac:dyDescent="0.2">
      <c r="A308" s="36" t="s">
        <v>797</v>
      </c>
      <c r="B308" s="37" t="s">
        <v>799</v>
      </c>
      <c r="C308" s="37" t="s">
        <v>700</v>
      </c>
      <c r="D308" s="38">
        <f>ROUND(SUMIF(RV_DATA!AB332:AB385, 70027163, RV_DATA!I332:I385), 6)</f>
        <v>0.19320000000000001</v>
      </c>
      <c r="E308" s="39">
        <f>ROUND(RV_DATA!K364, 2)</f>
        <v>2.15</v>
      </c>
      <c r="F308" s="39">
        <f>ROUND(SUMIF(RV_DATA!AB332:AB385, 70027163, RV_DATA!M332:M385), 6)</f>
        <v>0.41</v>
      </c>
      <c r="G308" s="39">
        <f>ROUND(RV_DATA!N364, 2)</f>
        <v>12.13</v>
      </c>
      <c r="H308" s="39">
        <f>ROUND(SUMIF(RV_DATA!AB332:AB385, 70027163, RV_DATA!O332:O385), 6)</f>
        <v>2.31</v>
      </c>
      <c r="AL308">
        <v>2</v>
      </c>
    </row>
    <row r="309" spans="1:38" ht="14.25" x14ac:dyDescent="0.2">
      <c r="A309" s="36" t="s">
        <v>1101</v>
      </c>
      <c r="B309" s="37" t="s">
        <v>1103</v>
      </c>
      <c r="C309" s="37" t="s">
        <v>700</v>
      </c>
      <c r="D309" s="38">
        <f>ROUND(SUMIF(RV_DATA!AB332:AB385, -1600494862, RV_DATA!I332:I385), 6)</f>
        <v>1.0919999999999999E-2</v>
      </c>
      <c r="E309" s="39">
        <f>ROUND(RV_DATA!K346, 2)</f>
        <v>7.42</v>
      </c>
      <c r="F309" s="39">
        <f>ROUND(SUMIF(RV_DATA!AB332:AB385, -1600494862, RV_DATA!M332:M385), 6)</f>
        <v>0.08</v>
      </c>
      <c r="G309" s="39">
        <f>ROUND(RV_DATA!N346, 2)</f>
        <v>64.930000000000007</v>
      </c>
      <c r="H309" s="39">
        <f>ROUND(SUMIF(RV_DATA!AB332:AB385, -1600494862, RV_DATA!O332:O385), 6)</f>
        <v>0.7</v>
      </c>
      <c r="AL309">
        <v>2</v>
      </c>
    </row>
    <row r="310" spans="1:38" ht="14.25" x14ac:dyDescent="0.2">
      <c r="A310" s="36" t="s">
        <v>1147</v>
      </c>
      <c r="B310" s="37" t="s">
        <v>1149</v>
      </c>
      <c r="C310" s="37" t="s">
        <v>700</v>
      </c>
      <c r="D310" s="38">
        <f>ROUND(SUMIF(RV_DATA!AB332:AB385, 458442870, RV_DATA!I332:I385), 6)</f>
        <v>4.3200000000000002E-2</v>
      </c>
      <c r="E310" s="39">
        <f>ROUND(RV_DATA!K372, 2)</f>
        <v>0.96</v>
      </c>
      <c r="F310" s="39">
        <f>ROUND(SUMIF(RV_DATA!AB332:AB385, 458442870, RV_DATA!M332:M385), 6)</f>
        <v>0.04</v>
      </c>
      <c r="G310" s="39">
        <f>ROUND(RV_DATA!N372, 2)</f>
        <v>7.12</v>
      </c>
      <c r="H310" s="39">
        <f>ROUND(SUMIF(RV_DATA!AB332:AB385, 458442870, RV_DATA!O332:O385), 6)</f>
        <v>0.3</v>
      </c>
      <c r="AL310">
        <v>2</v>
      </c>
    </row>
    <row r="311" spans="1:38" ht="14.25" x14ac:dyDescent="0.2">
      <c r="A311" s="36" t="s">
        <v>697</v>
      </c>
      <c r="B311" s="37" t="s">
        <v>699</v>
      </c>
      <c r="C311" s="37" t="s">
        <v>700</v>
      </c>
      <c r="D311" s="38">
        <f>ROUND(SUMIF(RV_DATA!AB332:AB385, 803684306, RV_DATA!I332:I385), 6)</f>
        <v>0.2772</v>
      </c>
      <c r="E311" s="39">
        <f>ROUND(RV_DATA!K363, 2)</f>
        <v>5.63</v>
      </c>
      <c r="F311" s="39">
        <f>ROUND(SUMIF(RV_DATA!AB332:AB385, 803684306, RV_DATA!M332:M385), 6)</f>
        <v>1.56</v>
      </c>
      <c r="G311" s="39">
        <f>ROUND(RV_DATA!N363, 2)</f>
        <v>36.200000000000003</v>
      </c>
      <c r="H311" s="39">
        <f>ROUND(SUMIF(RV_DATA!AB332:AB385, 803684306, RV_DATA!O332:O385), 6)</f>
        <v>10.029999999999999</v>
      </c>
      <c r="AL311">
        <v>2</v>
      </c>
    </row>
    <row r="312" spans="1:38" ht="28.5" x14ac:dyDescent="0.2">
      <c r="A312" s="36" t="s">
        <v>713</v>
      </c>
      <c r="B312" s="37" t="s">
        <v>715</v>
      </c>
      <c r="C312" s="37" t="s">
        <v>700</v>
      </c>
      <c r="D312" s="38">
        <f>ROUND(SUMIF(RV_DATA!AB332:AB385, 1619992053, RV_DATA!I332:I385), 6)</f>
        <v>0.63938499999999998</v>
      </c>
      <c r="E312" s="39">
        <f>ROUND(RV_DATA!K345, 2)</f>
        <v>91.76</v>
      </c>
      <c r="F312" s="39">
        <f>ROUND(SUMIF(RV_DATA!AB332:AB385, 1619992053, RV_DATA!M332:M385), 6)</f>
        <v>58.68</v>
      </c>
      <c r="G312" s="39">
        <f>ROUND(RV_DATA!N345, 2)</f>
        <v>1305.74</v>
      </c>
      <c r="H312" s="39">
        <f>ROUND(SUMIF(RV_DATA!AB332:AB385, 1619992053, RV_DATA!O332:O385), 6)</f>
        <v>835.01</v>
      </c>
      <c r="AL312">
        <v>2</v>
      </c>
    </row>
    <row r="313" spans="1:38" ht="15" x14ac:dyDescent="0.25">
      <c r="A313" s="40" t="s">
        <v>1276</v>
      </c>
      <c r="B313" s="40"/>
      <c r="C313" s="40"/>
      <c r="D313" s="40"/>
      <c r="E313" s="41">
        <f>SUMIF(AL302:AL312, 2, F302:F312)</f>
        <v>134.41</v>
      </c>
      <c r="F313" s="41"/>
      <c r="G313" s="41">
        <f>SUMIF(AL302:AL312, 2, H302:H312)</f>
        <v>1840.2199999999998</v>
      </c>
      <c r="H313" s="40"/>
    </row>
    <row r="314" spans="1:38" ht="14.25" x14ac:dyDescent="0.2">
      <c r="A314" s="34" t="s">
        <v>1277</v>
      </c>
      <c r="B314" s="35"/>
      <c r="C314" s="35"/>
      <c r="D314" s="35"/>
      <c r="E314" s="35"/>
      <c r="F314" s="35"/>
      <c r="G314" s="35"/>
      <c r="H314" s="35"/>
    </row>
    <row r="315" spans="1:38" ht="28.5" x14ac:dyDescent="0.2">
      <c r="A315" s="36" t="s">
        <v>1150</v>
      </c>
      <c r="B315" s="37" t="s">
        <v>1152</v>
      </c>
      <c r="C315" s="37" t="s">
        <v>170</v>
      </c>
      <c r="D315" s="38">
        <f>ROUND(SUMIF(RV_DATA!AB332:AB385, -1562284149, RV_DATA!I332:I385), 6)</f>
        <v>8.7000000000000001E-4</v>
      </c>
      <c r="E315" s="39">
        <f>ROUND(RV_DATA!K370, 2)</f>
        <v>9167</v>
      </c>
      <c r="F315" s="39">
        <f>ROUND(SUMIF(RV_DATA!AB332:AB385, -1562284149, RV_DATA!M332:M385), 6)</f>
        <v>7.98</v>
      </c>
      <c r="G315" s="39">
        <f>ROUND(RV_DATA!N370, 2)</f>
        <v>76361.11</v>
      </c>
      <c r="H315" s="39">
        <f>ROUND(SUMIF(RV_DATA!AB332:AB385, -1562284149, RV_DATA!O332:O385), 6)</f>
        <v>66.47</v>
      </c>
      <c r="AL315">
        <v>3</v>
      </c>
    </row>
    <row r="316" spans="1:38" ht="14.25" x14ac:dyDescent="0.2">
      <c r="A316" s="36" t="s">
        <v>1153</v>
      </c>
      <c r="B316" s="37" t="s">
        <v>1155</v>
      </c>
      <c r="C316" s="37" t="s">
        <v>170</v>
      </c>
      <c r="D316" s="38">
        <f>ROUND(SUMIF(RV_DATA!AB332:AB385, 1355283455, RV_DATA!I332:I385), 6)</f>
        <v>4.2400000000000001E-4</v>
      </c>
      <c r="E316" s="39">
        <f>ROUND(RV_DATA!K369, 2)</f>
        <v>9167</v>
      </c>
      <c r="F316" s="39">
        <f>ROUND(SUMIF(RV_DATA!AB332:AB385, 1355283455, RV_DATA!M332:M385), 6)</f>
        <v>3.88</v>
      </c>
      <c r="G316" s="39">
        <f>ROUND(RV_DATA!N369, 2)</f>
        <v>196082.13</v>
      </c>
      <c r="H316" s="39">
        <f>ROUND(SUMIF(RV_DATA!AB332:AB385, 1355283455, RV_DATA!O332:O385), 6)</f>
        <v>82.99</v>
      </c>
      <c r="AL316">
        <v>3</v>
      </c>
    </row>
    <row r="317" spans="1:38" ht="28.5" x14ac:dyDescent="0.2">
      <c r="A317" s="36" t="s">
        <v>1054</v>
      </c>
      <c r="B317" s="37" t="s">
        <v>1056</v>
      </c>
      <c r="C317" s="37" t="s">
        <v>170</v>
      </c>
      <c r="D317" s="38">
        <f>ROUND(SUMIF(RV_DATA!AB332:AB385, 1769814261, RV_DATA!I332:I385), 6)</f>
        <v>1.17E-3</v>
      </c>
      <c r="E317" s="39">
        <f>ROUND(RV_DATA!K376, 2)</f>
        <v>5989</v>
      </c>
      <c r="F317" s="39">
        <f>ROUND(SUMIF(RV_DATA!AB332:AB385, 1769814261, RV_DATA!M332:M385), 6)</f>
        <v>7.01</v>
      </c>
      <c r="G317" s="39">
        <f>ROUND(RV_DATA!N376, 2)</f>
        <v>60069.67</v>
      </c>
      <c r="H317" s="39">
        <f>ROUND(SUMIF(RV_DATA!AB332:AB385, 1769814261, RV_DATA!O332:O385), 6)</f>
        <v>70.31</v>
      </c>
      <c r="AL317">
        <v>3</v>
      </c>
    </row>
    <row r="318" spans="1:38" ht="28.5" x14ac:dyDescent="0.2">
      <c r="A318" s="36" t="s">
        <v>1124</v>
      </c>
      <c r="B318" s="37" t="s">
        <v>1126</v>
      </c>
      <c r="C318" s="37" t="s">
        <v>170</v>
      </c>
      <c r="D318" s="38">
        <f>ROUND(SUMIF(RV_DATA!AB332:AB385, -1394755956, RV_DATA!I332:I385), 6)</f>
        <v>2.604E-3</v>
      </c>
      <c r="E318" s="39">
        <f>ROUND(RV_DATA!K361, 2)</f>
        <v>5989</v>
      </c>
      <c r="F318" s="39">
        <f>ROUND(SUMIF(RV_DATA!AB332:AB385, -1394755956, RV_DATA!M332:M385), 6)</f>
        <v>15.6</v>
      </c>
      <c r="G318" s="39">
        <f>ROUND(RV_DATA!N361, 2)</f>
        <v>60069.67</v>
      </c>
      <c r="H318" s="39">
        <f>ROUND(SUMIF(RV_DATA!AB332:AB385, -1394755956, RV_DATA!O332:O385), 6)</f>
        <v>156.47</v>
      </c>
      <c r="AL318">
        <v>3</v>
      </c>
    </row>
    <row r="319" spans="1:38" ht="14.25" x14ac:dyDescent="0.2">
      <c r="A319" s="36" t="s">
        <v>1156</v>
      </c>
      <c r="B319" s="37" t="s">
        <v>1158</v>
      </c>
      <c r="C319" s="37" t="s">
        <v>201</v>
      </c>
      <c r="D319" s="38">
        <f>ROUND(SUMIF(RV_DATA!AB332:AB385, 1670766506, RV_DATA!I332:I385), 6)</f>
        <v>12.6</v>
      </c>
      <c r="E319" s="39">
        <f>ROUND(RV_DATA!K368, 2)</f>
        <v>3.25</v>
      </c>
      <c r="F319" s="39">
        <f>ROUND(SUMIF(RV_DATA!AB332:AB385, 1670766506, RV_DATA!M332:M385), 6)</f>
        <v>40.950000000000003</v>
      </c>
      <c r="G319" s="39">
        <f>ROUND(RV_DATA!N368, 2)</f>
        <v>31.49</v>
      </c>
      <c r="H319" s="39">
        <f>ROUND(SUMIF(RV_DATA!AB332:AB385, 1670766506, RV_DATA!O332:O385), 6)</f>
        <v>396.81</v>
      </c>
      <c r="AL319">
        <v>3</v>
      </c>
    </row>
    <row r="320" spans="1:38" ht="42.75" x14ac:dyDescent="0.2">
      <c r="A320" s="36" t="s">
        <v>1173</v>
      </c>
      <c r="B320" s="37" t="s">
        <v>1175</v>
      </c>
      <c r="C320" s="37" t="s">
        <v>289</v>
      </c>
      <c r="D320" s="38">
        <f>ROUND(SUMIF(RV_DATA!AB332:AB385, 211784805, RV_DATA!I332:I385), 6)</f>
        <v>2</v>
      </c>
      <c r="E320" s="39">
        <f>ROUND(RV_DATA!K382, 2)</f>
        <v>27</v>
      </c>
      <c r="F320" s="39">
        <f>ROUND(SUMIF(RV_DATA!AB332:AB385, 211784805, RV_DATA!M332:M385), 6)</f>
        <v>54</v>
      </c>
      <c r="G320" s="39">
        <f>ROUND(RV_DATA!N382, 2)</f>
        <v>239.49</v>
      </c>
      <c r="H320" s="39">
        <f>ROUND(SUMIF(RV_DATA!AB332:AB385, 211784805, RV_DATA!O332:O385), 6)</f>
        <v>478.98</v>
      </c>
      <c r="AL320">
        <v>3</v>
      </c>
    </row>
    <row r="321" spans="1:38" ht="28.5" x14ac:dyDescent="0.2">
      <c r="A321" s="36" t="s">
        <v>1104</v>
      </c>
      <c r="B321" s="37" t="s">
        <v>1106</v>
      </c>
      <c r="C321" s="37" t="s">
        <v>170</v>
      </c>
      <c r="D321" s="38">
        <f>ROUND(SUMIF(RV_DATA!AB332:AB385, -1764049248, RV_DATA!I332:I385), 6)</f>
        <v>2.9399999999999999E-4</v>
      </c>
      <c r="E321" s="39">
        <f>ROUND(RV_DATA!K344, 2)</f>
        <v>499.7</v>
      </c>
      <c r="F321" s="39">
        <f>ROUND(SUMIF(RV_DATA!AB332:AB385, -1764049248, RV_DATA!M332:M385), 6)</f>
        <v>0.15</v>
      </c>
      <c r="G321" s="39">
        <f>ROUND(RV_DATA!N344, 2)</f>
        <v>7835.3</v>
      </c>
      <c r="H321" s="39">
        <f>ROUND(SUMIF(RV_DATA!AB332:AB385, -1764049248, RV_DATA!O332:O385), 6)</f>
        <v>2.35</v>
      </c>
      <c r="AL321">
        <v>3</v>
      </c>
    </row>
    <row r="322" spans="1:38" ht="28.5" x14ac:dyDescent="0.2">
      <c r="A322" s="36" t="s">
        <v>1127</v>
      </c>
      <c r="B322" s="37" t="s">
        <v>1129</v>
      </c>
      <c r="C322" s="37" t="s">
        <v>170</v>
      </c>
      <c r="D322" s="38">
        <f>ROUND(SUMIF(RV_DATA!AB332:AB385, 150181361, RV_DATA!I332:I385), 6)</f>
        <v>2.1670000000000001E-3</v>
      </c>
      <c r="E322" s="39">
        <f>ROUND(RV_DATA!K360, 2)</f>
        <v>1695</v>
      </c>
      <c r="F322" s="39">
        <f>ROUND(SUMIF(RV_DATA!AB332:AB385, 150181361, RV_DATA!M332:M385), 6)</f>
        <v>3.67</v>
      </c>
      <c r="G322" s="39">
        <f>ROUND(RV_DATA!N360, 2)</f>
        <v>16187.25</v>
      </c>
      <c r="H322" s="39">
        <f>ROUND(SUMIF(RV_DATA!AB332:AB385, 150181361, RV_DATA!O332:O385), 6)</f>
        <v>35.049999999999997</v>
      </c>
      <c r="AL322">
        <v>3</v>
      </c>
    </row>
    <row r="323" spans="1:38" ht="28.5" x14ac:dyDescent="0.2">
      <c r="A323" s="36" t="s">
        <v>252</v>
      </c>
      <c r="B323" s="37" t="s">
        <v>253</v>
      </c>
      <c r="C323" s="37" t="s">
        <v>170</v>
      </c>
      <c r="D323" s="38">
        <f>ROUND(SUMIF(RV_DATA!AB332:AB385, 328055112, RV_DATA!I332:I385), 6)</f>
        <v>6.3E-3</v>
      </c>
      <c r="E323" s="39">
        <f>ROUND(RV_DATA!K359, 2)</f>
        <v>9040.01</v>
      </c>
      <c r="F323" s="39">
        <f>ROUND(SUMIF(RV_DATA!AB332:AB385, 328055112, RV_DATA!M332:M385), 6)</f>
        <v>56.95</v>
      </c>
      <c r="G323" s="39">
        <f>ROUND(RV_DATA!N359, 2)</f>
        <v>208824.23</v>
      </c>
      <c r="H323" s="39">
        <f>ROUND(SUMIF(RV_DATA!AB332:AB385, 328055112, RV_DATA!O332:O385), 6)</f>
        <v>1315.55</v>
      </c>
      <c r="AL323">
        <v>3</v>
      </c>
    </row>
    <row r="324" spans="1:38" ht="28.5" x14ac:dyDescent="0.2">
      <c r="A324" s="36" t="s">
        <v>1130</v>
      </c>
      <c r="B324" s="37" t="s">
        <v>1132</v>
      </c>
      <c r="C324" s="37" t="s">
        <v>201</v>
      </c>
      <c r="D324" s="38">
        <f>ROUND(SUMIF(RV_DATA!AB332:AB385, -105205688, RV_DATA!I332:I385), 6)</f>
        <v>1.218</v>
      </c>
      <c r="E324" s="39">
        <f>ROUND(RV_DATA!K358, 2)</f>
        <v>5.82</v>
      </c>
      <c r="F324" s="39">
        <f>ROUND(SUMIF(RV_DATA!AB332:AB385, -105205688, RV_DATA!M332:M385), 6)</f>
        <v>7.09</v>
      </c>
      <c r="G324" s="39">
        <f>ROUND(RV_DATA!N358, 2)</f>
        <v>45.22</v>
      </c>
      <c r="H324" s="39">
        <f>ROUND(SUMIF(RV_DATA!AB332:AB385, -105205688, RV_DATA!O332:O385), 6)</f>
        <v>55.09</v>
      </c>
      <c r="AL324">
        <v>3</v>
      </c>
    </row>
    <row r="325" spans="1:38" ht="14.25" x14ac:dyDescent="0.2">
      <c r="A325" s="36" t="s">
        <v>851</v>
      </c>
      <c r="B325" s="37" t="s">
        <v>853</v>
      </c>
      <c r="C325" s="37" t="s">
        <v>170</v>
      </c>
      <c r="D325" s="38">
        <f>ROUND(SUMIF(RV_DATA!AB332:AB385, 1198263553, RV_DATA!I332:I385), 6)</f>
        <v>2.5200000000000001E-3</v>
      </c>
      <c r="E325" s="39">
        <f>ROUND(RV_DATA!K357, 2)</f>
        <v>12936</v>
      </c>
      <c r="F325" s="39">
        <f>ROUND(SUMIF(RV_DATA!AB332:AB385, 1198263553, RV_DATA!M332:M385), 6)</f>
        <v>32.6</v>
      </c>
      <c r="G325" s="39">
        <f>ROUND(RV_DATA!N357, 2)</f>
        <v>111120.24</v>
      </c>
      <c r="H325" s="39">
        <f>ROUND(SUMIF(RV_DATA!AB332:AB385, 1198263553, RV_DATA!O332:O385), 6)</f>
        <v>280.02999999999997</v>
      </c>
      <c r="AL325">
        <v>3</v>
      </c>
    </row>
    <row r="326" spans="1:38" ht="28.5" x14ac:dyDescent="0.2">
      <c r="A326" s="36" t="s">
        <v>1165</v>
      </c>
      <c r="B326" s="37" t="s">
        <v>1167</v>
      </c>
      <c r="C326" s="37" t="s">
        <v>170</v>
      </c>
      <c r="D326" s="38">
        <f>ROUND(SUMIF(RV_DATA!AB332:AB385, 59135389, RV_DATA!I332:I385), 6)</f>
        <v>1.9574999999999999E-2</v>
      </c>
      <c r="E326" s="39">
        <f>ROUND(RV_DATA!K375, 2)</f>
        <v>11200</v>
      </c>
      <c r="F326" s="39">
        <f>ROUND(SUMIF(RV_DATA!AB332:AB385, 59135389, RV_DATA!M332:M385), 6)</f>
        <v>219.24</v>
      </c>
      <c r="G326" s="39">
        <f>ROUND(RV_DATA!N375, 2)</f>
        <v>104048</v>
      </c>
      <c r="H326" s="39">
        <f>ROUND(SUMIF(RV_DATA!AB332:AB385, 59135389, RV_DATA!O332:O385), 6)</f>
        <v>2036.74</v>
      </c>
      <c r="AL326">
        <v>3</v>
      </c>
    </row>
    <row r="327" spans="1:38" ht="14.25" x14ac:dyDescent="0.2">
      <c r="A327" s="36" t="s">
        <v>1107</v>
      </c>
      <c r="B327" s="37" t="s">
        <v>1109</v>
      </c>
      <c r="C327" s="37" t="s">
        <v>170</v>
      </c>
      <c r="D327" s="38">
        <f>ROUND(SUMIF(RV_DATA!AB332:AB385, -1668873845, RV_DATA!I332:I385), 6)</f>
        <v>7.9799999999999999E-4</v>
      </c>
      <c r="E327" s="39">
        <f>ROUND(RV_DATA!K343, 2)</f>
        <v>4434.3999999999996</v>
      </c>
      <c r="F327" s="39">
        <f>ROUND(SUMIF(RV_DATA!AB332:AB385, -1668873845, RV_DATA!M332:M385), 6)</f>
        <v>3.54</v>
      </c>
      <c r="G327" s="39">
        <f>ROUND(RV_DATA!N343, 2)</f>
        <v>109662.71</v>
      </c>
      <c r="H327" s="39">
        <f>ROUND(SUMIF(RV_DATA!AB332:AB385, -1668873845, RV_DATA!O332:O385), 6)</f>
        <v>87.54</v>
      </c>
      <c r="AL327">
        <v>3</v>
      </c>
    </row>
    <row r="328" spans="1:38" ht="42.75" x14ac:dyDescent="0.2">
      <c r="A328" s="36" t="s">
        <v>1133</v>
      </c>
      <c r="B328" s="37" t="s">
        <v>1135</v>
      </c>
      <c r="C328" s="37" t="s">
        <v>52</v>
      </c>
      <c r="D328" s="38">
        <f>ROUND(SUMIF(RV_DATA!AB332:AB385, -189647741, RV_DATA!I332:I385), 6)</f>
        <v>0.78120000000000001</v>
      </c>
      <c r="E328" s="39">
        <f>ROUND(RV_DATA!K356, 2)</f>
        <v>1656</v>
      </c>
      <c r="F328" s="39">
        <f>ROUND(SUMIF(RV_DATA!AB332:AB385, -189647741, RV_DATA!M332:M385), 6)</f>
        <v>1293.67</v>
      </c>
      <c r="G328" s="39">
        <f>ROUND(RV_DATA!N356, 2)</f>
        <v>18563.759999999998</v>
      </c>
      <c r="H328" s="39">
        <f>ROUND(SUMIF(RV_DATA!AB332:AB385, -189647741, RV_DATA!O332:O385), 6)</f>
        <v>14502.04</v>
      </c>
      <c r="AL328">
        <v>3</v>
      </c>
    </row>
    <row r="329" spans="1:38" ht="42.75" x14ac:dyDescent="0.2">
      <c r="A329" s="36" t="s">
        <v>1159</v>
      </c>
      <c r="B329" s="37" t="s">
        <v>1161</v>
      </c>
      <c r="C329" s="37" t="s">
        <v>52</v>
      </c>
      <c r="D329" s="38">
        <f>ROUND(SUMIF(RV_DATA!AB332:AB385, -1257962429, RV_DATA!I332:I385), 6)</f>
        <v>1.6799999999999999E-2</v>
      </c>
      <c r="E329" s="39">
        <f>ROUND(RV_DATA!K367, 2)</f>
        <v>1150</v>
      </c>
      <c r="F329" s="39">
        <f>ROUND(SUMIF(RV_DATA!AB332:AB385, -1257962429, RV_DATA!M332:M385), 6)</f>
        <v>19.32</v>
      </c>
      <c r="G329" s="39">
        <f>ROUND(RV_DATA!N367, 2)</f>
        <v>15352.5</v>
      </c>
      <c r="H329" s="39">
        <f>ROUND(SUMIF(RV_DATA!AB332:AB385, -1257962429, RV_DATA!O332:O385), 6)</f>
        <v>257.92</v>
      </c>
      <c r="AL329">
        <v>3</v>
      </c>
    </row>
    <row r="330" spans="1:38" ht="42.75" x14ac:dyDescent="0.2">
      <c r="A330" s="36" t="s">
        <v>1136</v>
      </c>
      <c r="B330" s="37" t="s">
        <v>1138</v>
      </c>
      <c r="C330" s="37" t="s">
        <v>52</v>
      </c>
      <c r="D330" s="38">
        <f>ROUND(SUMIF(RV_DATA!AB332:AB385, 1057774501, RV_DATA!I332:I385), 6)</f>
        <v>0.14130000000000001</v>
      </c>
      <c r="E330" s="39">
        <f>ROUND(RV_DATA!K355, 2)</f>
        <v>1104</v>
      </c>
      <c r="F330" s="39">
        <f>ROUND(SUMIF(RV_DATA!AB332:AB385, 1057774501, RV_DATA!M332:M385), 6)</f>
        <v>155.99</v>
      </c>
      <c r="G330" s="39">
        <f>ROUND(RV_DATA!N355, 2)</f>
        <v>18569.28</v>
      </c>
      <c r="H330" s="39">
        <f>ROUND(SUMIF(RV_DATA!AB332:AB385, 1057774501, RV_DATA!O332:O385), 6)</f>
        <v>2623.75</v>
      </c>
      <c r="AL330">
        <v>3</v>
      </c>
    </row>
    <row r="331" spans="1:38" ht="42.75" x14ac:dyDescent="0.2">
      <c r="A331" s="36" t="s">
        <v>1139</v>
      </c>
      <c r="B331" s="37" t="s">
        <v>1141</v>
      </c>
      <c r="C331" s="37" t="s">
        <v>52</v>
      </c>
      <c r="D331" s="38">
        <f>ROUND(SUMIF(RV_DATA!AB332:AB385, -1418560212, RV_DATA!I332:I385), 6)</f>
        <v>8.3999999999999995E-3</v>
      </c>
      <c r="E331" s="39">
        <f>ROUND(RV_DATA!K354, 2)</f>
        <v>802.21</v>
      </c>
      <c r="F331" s="39">
        <f>ROUND(SUMIF(RV_DATA!AB332:AB385, -1418560212, RV_DATA!M332:M385), 6)</f>
        <v>6.74</v>
      </c>
      <c r="G331" s="39">
        <f>ROUND(RV_DATA!N354, 2)</f>
        <v>8086.28</v>
      </c>
      <c r="H331" s="39">
        <f>ROUND(SUMIF(RV_DATA!AB332:AB385, -1418560212, RV_DATA!O332:O385), 6)</f>
        <v>67.94</v>
      </c>
      <c r="AL331">
        <v>3</v>
      </c>
    </row>
    <row r="332" spans="1:38" ht="14.25" x14ac:dyDescent="0.2">
      <c r="A332" s="36" t="s">
        <v>1142</v>
      </c>
      <c r="B332" s="37" t="s">
        <v>1144</v>
      </c>
      <c r="C332" s="37" t="s">
        <v>170</v>
      </c>
      <c r="D332" s="38">
        <f>ROUND(SUMIF(RV_DATA!AB332:AB385, -1875317819, RV_DATA!I332:I385), 6)</f>
        <v>2.5279999999999999E-3</v>
      </c>
      <c r="E332" s="39">
        <f>ROUND(RV_DATA!K353, 2)</f>
        <v>15255</v>
      </c>
      <c r="F332" s="39">
        <f>ROUND(SUMIF(RV_DATA!AB332:AB385, -1875317819, RV_DATA!M332:M385), 6)</f>
        <v>38.57</v>
      </c>
      <c r="G332" s="39">
        <f>ROUND(RV_DATA!N353, 2)</f>
        <v>138057.75</v>
      </c>
      <c r="H332" s="39">
        <f>ROUND(SUMIF(RV_DATA!AB332:AB385, -1875317819, RV_DATA!O332:O385), 6)</f>
        <v>349.06</v>
      </c>
      <c r="AL332">
        <v>3</v>
      </c>
    </row>
    <row r="333" spans="1:38" ht="57" x14ac:dyDescent="0.2">
      <c r="A333" s="36" t="s">
        <v>1162</v>
      </c>
      <c r="B333" s="37" t="s">
        <v>1164</v>
      </c>
      <c r="C333" s="37" t="s">
        <v>52</v>
      </c>
      <c r="D333" s="38">
        <f>ROUND(SUMIF(RV_DATA!AB332:AB385, 1293473728, RV_DATA!I332:I385), 6)</f>
        <v>0.1716</v>
      </c>
      <c r="E333" s="39">
        <f>ROUND(RV_DATA!K366, 2)</f>
        <v>1784</v>
      </c>
      <c r="F333" s="39">
        <f>ROUND(SUMIF(RV_DATA!AB332:AB385, 1293473728, RV_DATA!M332:M385), 6)</f>
        <v>306.13</v>
      </c>
      <c r="G333" s="39">
        <f>ROUND(RV_DATA!N366, 2)</f>
        <v>25314.959999999999</v>
      </c>
      <c r="H333" s="39">
        <f>ROUND(SUMIF(RV_DATA!AB332:AB385, 1293473728, RV_DATA!O332:O385), 6)</f>
        <v>4343.9799999999996</v>
      </c>
      <c r="AL333">
        <v>3</v>
      </c>
    </row>
    <row r="334" spans="1:38" ht="14.25" x14ac:dyDescent="0.2">
      <c r="A334" s="36" t="s">
        <v>1110</v>
      </c>
      <c r="B334" s="37" t="s">
        <v>1112</v>
      </c>
      <c r="C334" s="37" t="s">
        <v>52</v>
      </c>
      <c r="D334" s="38">
        <f>ROUND(SUMIF(RV_DATA!AB332:AB385, -2055478137, RV_DATA!I332:I385), 6)</f>
        <v>0.21840000000000001</v>
      </c>
      <c r="E334" s="39">
        <f>ROUND(RV_DATA!K342, 2)</f>
        <v>616</v>
      </c>
      <c r="F334" s="39">
        <f>ROUND(SUMIF(RV_DATA!AB332:AB385, -2055478137, RV_DATA!M332:M385), 6)</f>
        <v>134.53</v>
      </c>
      <c r="G334" s="39">
        <f>ROUND(RV_DATA!N342, 2)</f>
        <v>6437.2</v>
      </c>
      <c r="H334" s="39">
        <f>ROUND(SUMIF(RV_DATA!AB332:AB385, -2055478137, RV_DATA!O332:O385), 6)</f>
        <v>1405.84</v>
      </c>
      <c r="AL334">
        <v>3</v>
      </c>
    </row>
    <row r="335" spans="1:38" ht="28.5" x14ac:dyDescent="0.2">
      <c r="A335" s="36" t="s">
        <v>748</v>
      </c>
      <c r="B335" s="37" t="s">
        <v>750</v>
      </c>
      <c r="C335" s="37" t="s">
        <v>52</v>
      </c>
      <c r="D335" s="38">
        <f>ROUND(SUMIF(RV_DATA!AB332:AB385, -368703330, RV_DATA!I332:I385), 6)</f>
        <v>3.4439999999999998E-2</v>
      </c>
      <c r="E335" s="39">
        <f>ROUND(RV_DATA!K341, 2)</f>
        <v>389</v>
      </c>
      <c r="F335" s="39">
        <f>ROUND(SUMIF(RV_DATA!AB332:AB385, -368703330, RV_DATA!M332:M385), 6)</f>
        <v>13.4</v>
      </c>
      <c r="G335" s="39">
        <f>ROUND(RV_DATA!N341, 2)</f>
        <v>4512.3999999999996</v>
      </c>
      <c r="H335" s="39">
        <f>ROUND(SUMIF(RV_DATA!AB332:AB385, -368703330, RV_DATA!O332:O385), 6)</f>
        <v>155.44</v>
      </c>
      <c r="AL335">
        <v>3</v>
      </c>
    </row>
    <row r="336" spans="1:38" ht="14.25" x14ac:dyDescent="0.2">
      <c r="A336" s="36" t="s">
        <v>1113</v>
      </c>
      <c r="B336" s="37" t="s">
        <v>1115</v>
      </c>
      <c r="C336" s="37" t="s">
        <v>52</v>
      </c>
      <c r="D336" s="38">
        <f>ROUND(SUMIF(RV_DATA!AB332:AB385, -1682802949, RV_DATA!I332:I385), 6)</f>
        <v>5.0400000000000002E-3</v>
      </c>
      <c r="E336" s="39">
        <f>ROUND(RV_DATA!K340, 2)</f>
        <v>400.92</v>
      </c>
      <c r="F336" s="39">
        <f>ROUND(SUMIF(RV_DATA!AB332:AB385, -1682802949, RV_DATA!M332:M385), 6)</f>
        <v>2.02</v>
      </c>
      <c r="G336" s="39">
        <f>ROUND(RV_DATA!N340, 2)</f>
        <v>3668.42</v>
      </c>
      <c r="H336" s="39">
        <f>ROUND(SUMIF(RV_DATA!AB332:AB385, -1682802949, RV_DATA!O332:O385), 6)</f>
        <v>18.48</v>
      </c>
      <c r="AL336">
        <v>3</v>
      </c>
    </row>
    <row r="337" spans="1:38" ht="28.5" x14ac:dyDescent="0.2">
      <c r="A337" s="36" t="s">
        <v>1116</v>
      </c>
      <c r="B337" s="37" t="s">
        <v>1118</v>
      </c>
      <c r="C337" s="37" t="s">
        <v>368</v>
      </c>
      <c r="D337" s="38">
        <f>ROUND(SUMIF(RV_DATA!AB332:AB385, -537992685, RV_DATA!I332:I385), 6)</f>
        <v>0.28895999999999999</v>
      </c>
      <c r="E337" s="39">
        <f>ROUND(RV_DATA!K339, 2)</f>
        <v>818.57</v>
      </c>
      <c r="F337" s="39">
        <f>ROUND(SUMIF(RV_DATA!AB332:AB385, -537992685, RV_DATA!M332:M385), 6)</f>
        <v>236.53</v>
      </c>
      <c r="G337" s="39">
        <f>ROUND(RV_DATA!N339, 2)</f>
        <v>7743.67</v>
      </c>
      <c r="H337" s="39">
        <f>ROUND(SUMIF(RV_DATA!AB332:AB385, -537992685, RV_DATA!O332:O385), 6)</f>
        <v>2237.5700000000002</v>
      </c>
      <c r="AL337">
        <v>3</v>
      </c>
    </row>
    <row r="338" spans="1:38" ht="28.5" x14ac:dyDescent="0.2">
      <c r="A338" s="36" t="s">
        <v>1119</v>
      </c>
      <c r="B338" s="37" t="s">
        <v>1121</v>
      </c>
      <c r="C338" s="37" t="s">
        <v>52</v>
      </c>
      <c r="D338" s="38">
        <f>ROUND(SUMIF(RV_DATA!AB332:AB385, 40352378, RV_DATA!I332:I385), 6)</f>
        <v>8.652E-2</v>
      </c>
      <c r="E338" s="39">
        <f>ROUND(RV_DATA!K338, 2)</f>
        <v>1571</v>
      </c>
      <c r="F338" s="39">
        <f>ROUND(SUMIF(RV_DATA!AB332:AB385, 40352378, RV_DATA!M332:M385), 6)</f>
        <v>135.91999999999999</v>
      </c>
      <c r="G338" s="39">
        <f>ROUND(RV_DATA!N338, 2)</f>
        <v>22056.84</v>
      </c>
      <c r="H338" s="39">
        <f>ROUND(SUMIF(RV_DATA!AB332:AB385, 40352378, RV_DATA!O332:O385), 6)</f>
        <v>1908.32</v>
      </c>
      <c r="AL338">
        <v>3</v>
      </c>
    </row>
    <row r="339" spans="1:38" ht="42.75" x14ac:dyDescent="0.2">
      <c r="A339" s="36" t="s">
        <v>586</v>
      </c>
      <c r="B339" s="37" t="s">
        <v>587</v>
      </c>
      <c r="C339" s="37" t="s">
        <v>47</v>
      </c>
      <c r="D339" s="38">
        <f>ROUND(SUMIF(RV_DATA!AB332:AB385, -1796619469, RV_DATA!I332:I385), 6)</f>
        <v>1</v>
      </c>
      <c r="E339" s="39">
        <f>ROUND(RV_DATA!K352, 2)</f>
        <v>159.36000000000001</v>
      </c>
      <c r="F339" s="39">
        <f>ROUND(SUMIF(RV_DATA!AB332:AB385, -1796619469, RV_DATA!M332:M385), 6)</f>
        <v>159.36000000000001</v>
      </c>
      <c r="G339" s="39">
        <f>ROUND(RV_DATA!N352, 2)</f>
        <v>3968.06</v>
      </c>
      <c r="H339" s="39">
        <f>ROUND(SUMIF(RV_DATA!AB332:AB385, -1796619469, RV_DATA!O332:O385), 6)</f>
        <v>3968.06</v>
      </c>
      <c r="AL339">
        <v>3</v>
      </c>
    </row>
    <row r="340" spans="1:38" ht="57" x14ac:dyDescent="0.2">
      <c r="A340" s="36" t="s">
        <v>582</v>
      </c>
      <c r="B340" s="37" t="s">
        <v>583</v>
      </c>
      <c r="C340" s="37" t="s">
        <v>47</v>
      </c>
      <c r="D340" s="38">
        <f>ROUND(SUMIF(RV_DATA!AB332:AB385, -2130301237, RV_DATA!I332:I385), 6)</f>
        <v>1</v>
      </c>
      <c r="E340" s="39">
        <f>ROUND(RV_DATA!K351, 2)</f>
        <v>325</v>
      </c>
      <c r="F340" s="39">
        <f>ROUND(SUMIF(RV_DATA!AB332:AB385, -2130301237, RV_DATA!M332:M385), 6)</f>
        <v>325</v>
      </c>
      <c r="G340" s="39">
        <f>ROUND(RV_DATA!N351, 2)</f>
        <v>4670.25</v>
      </c>
      <c r="H340" s="39">
        <f>ROUND(SUMIF(RV_DATA!AB332:AB385, -2130301237, RV_DATA!O332:O385), 6)</f>
        <v>4670.25</v>
      </c>
      <c r="AL340">
        <v>3</v>
      </c>
    </row>
    <row r="341" spans="1:38" ht="28.5" x14ac:dyDescent="0.2">
      <c r="A341" s="36" t="s">
        <v>564</v>
      </c>
      <c r="B341" s="37" t="s">
        <v>565</v>
      </c>
      <c r="C341" s="37" t="s">
        <v>52</v>
      </c>
      <c r="D341" s="38">
        <f>ROUND(SUMIF(RV_DATA!AB332:AB385, -1422822734, RV_DATA!I332:I385), 6)</f>
        <v>6.0900000000000003E-2</v>
      </c>
      <c r="E341" s="39">
        <f>ROUND(RV_DATA!K337, 2)</f>
        <v>65</v>
      </c>
      <c r="F341" s="39">
        <f>ROUND(SUMIF(RV_DATA!AB332:AB385, -1422822734, RV_DATA!M332:M385), 6)</f>
        <v>3.96</v>
      </c>
      <c r="G341" s="39">
        <f>ROUND(RV_DATA!N337, 2)</f>
        <v>975</v>
      </c>
      <c r="H341" s="39">
        <f>ROUND(SUMIF(RV_DATA!AB332:AB385, -1422822734, RV_DATA!O332:O385), 6)</f>
        <v>59.4</v>
      </c>
      <c r="AL341">
        <v>3</v>
      </c>
    </row>
    <row r="342" spans="1:38" ht="28.5" x14ac:dyDescent="0.2">
      <c r="A342" s="36" t="s">
        <v>517</v>
      </c>
      <c r="B342" s="37" t="s">
        <v>518</v>
      </c>
      <c r="C342" s="37" t="s">
        <v>52</v>
      </c>
      <c r="D342" s="38">
        <f>ROUND(SUMIF(RV_DATA!AB332:AB385, -1560020902, RV_DATA!I332:I385), 6)</f>
        <v>0.374</v>
      </c>
      <c r="E342" s="39">
        <f>ROUND(RV_DATA!K336, 2)</f>
        <v>54</v>
      </c>
      <c r="F342" s="39">
        <f>ROUND(SUMIF(RV_DATA!AB332:AB385, -1560020902, RV_DATA!M332:M385), 6)</f>
        <v>20.2</v>
      </c>
      <c r="G342" s="39">
        <f>ROUND(RV_DATA!N336, 2)</f>
        <v>866.16</v>
      </c>
      <c r="H342" s="39">
        <f>ROUND(SUMIF(RV_DATA!AB332:AB385, -1560020902, RV_DATA!O332:O385), 6)</f>
        <v>323.94</v>
      </c>
      <c r="AL342">
        <v>3</v>
      </c>
    </row>
    <row r="343" spans="1:38" ht="15" x14ac:dyDescent="0.25">
      <c r="A343" s="40" t="s">
        <v>1278</v>
      </c>
      <c r="B343" s="40"/>
      <c r="C343" s="40"/>
      <c r="D343" s="40"/>
      <c r="E343" s="41">
        <f>SUMIF(AL315:AL342, 3, F315:F342)</f>
        <v>3304.0000000000005</v>
      </c>
      <c r="F343" s="41"/>
      <c r="G343" s="41">
        <f>SUMIF(AL315:AL342, 3, H315:H342)</f>
        <v>41956.369999999995</v>
      </c>
      <c r="H343" s="40"/>
    </row>
  </sheetData>
  <sortState xmlns:xlrd2="http://schemas.microsoft.com/office/spreadsheetml/2017/richdata2" ref="A315:AM342">
    <sortCondition ref="A315"/>
  </sortState>
  <mergeCells count="114">
    <mergeCell ref="A313:D313"/>
    <mergeCell ref="E313:F313"/>
    <mergeCell ref="G313:H313"/>
    <mergeCell ref="A314:H314"/>
    <mergeCell ref="A343:D343"/>
    <mergeCell ref="E343:F343"/>
    <mergeCell ref="G343:H343"/>
    <mergeCell ref="A292:H292"/>
    <mergeCell ref="A293:H293"/>
    <mergeCell ref="A300:D300"/>
    <mergeCell ref="E300:F300"/>
    <mergeCell ref="G300:H300"/>
    <mergeCell ref="A301:H301"/>
    <mergeCell ref="A250:H250"/>
    <mergeCell ref="A276:D276"/>
    <mergeCell ref="E276:F276"/>
    <mergeCell ref="G276:H276"/>
    <mergeCell ref="A277:H277"/>
    <mergeCell ref="A291:D291"/>
    <mergeCell ref="E291:F291"/>
    <mergeCell ref="G291:H291"/>
    <mergeCell ref="A241:D241"/>
    <mergeCell ref="E241:F241"/>
    <mergeCell ref="G241:H241"/>
    <mergeCell ref="A242:H242"/>
    <mergeCell ref="A243:H243"/>
    <mergeCell ref="A249:D249"/>
    <mergeCell ref="E249:F249"/>
    <mergeCell ref="G249:H249"/>
    <mergeCell ref="A202:H202"/>
    <mergeCell ref="A237:D237"/>
    <mergeCell ref="E237:F237"/>
    <mergeCell ref="G237:H237"/>
    <mergeCell ref="A238:H238"/>
    <mergeCell ref="A239:H239"/>
    <mergeCell ref="A179:D179"/>
    <mergeCell ref="E179:F179"/>
    <mergeCell ref="G179:H179"/>
    <mergeCell ref="A180:H180"/>
    <mergeCell ref="A201:D201"/>
    <mergeCell ref="E201:F201"/>
    <mergeCell ref="G201:H201"/>
    <mergeCell ref="A147:H147"/>
    <mergeCell ref="A170:D170"/>
    <mergeCell ref="E170:F170"/>
    <mergeCell ref="G170:H170"/>
    <mergeCell ref="A171:H171"/>
    <mergeCell ref="A172:H172"/>
    <mergeCell ref="A123:D123"/>
    <mergeCell ref="E123:F123"/>
    <mergeCell ref="G123:H123"/>
    <mergeCell ref="A124:H124"/>
    <mergeCell ref="A146:D146"/>
    <mergeCell ref="E146:F146"/>
    <mergeCell ref="G146:H146"/>
    <mergeCell ref="A107:H107"/>
    <mergeCell ref="A114:D114"/>
    <mergeCell ref="E114:F114"/>
    <mergeCell ref="G114:H114"/>
    <mergeCell ref="A115:H115"/>
    <mergeCell ref="A116:H116"/>
    <mergeCell ref="A102:D102"/>
    <mergeCell ref="E102:F102"/>
    <mergeCell ref="G102:H102"/>
    <mergeCell ref="A103:H103"/>
    <mergeCell ref="A106:D106"/>
    <mergeCell ref="E106:F106"/>
    <mergeCell ref="G106:H106"/>
    <mergeCell ref="A76:H76"/>
    <mergeCell ref="A98:D98"/>
    <mergeCell ref="E98:F98"/>
    <mergeCell ref="G98:H98"/>
    <mergeCell ref="A99:H99"/>
    <mergeCell ref="A100:H100"/>
    <mergeCell ref="A55:D55"/>
    <mergeCell ref="E55:F55"/>
    <mergeCell ref="G55:H55"/>
    <mergeCell ref="A56:H56"/>
    <mergeCell ref="A75:D75"/>
    <mergeCell ref="E75:F75"/>
    <mergeCell ref="G75:H75"/>
    <mergeCell ref="A40:H40"/>
    <mergeCell ref="A49:D49"/>
    <mergeCell ref="E49:F49"/>
    <mergeCell ref="G49:H49"/>
    <mergeCell ref="A50:H50"/>
    <mergeCell ref="A51:H51"/>
    <mergeCell ref="A33:D33"/>
    <mergeCell ref="E33:F33"/>
    <mergeCell ref="G33:H33"/>
    <mergeCell ref="A34:H34"/>
    <mergeCell ref="A39:D39"/>
    <mergeCell ref="E39:F39"/>
    <mergeCell ref="G39:H39"/>
    <mergeCell ref="A17:H17"/>
    <mergeCell ref="A29:D29"/>
    <mergeCell ref="E29:F29"/>
    <mergeCell ref="G29:H29"/>
    <mergeCell ref="A30:H30"/>
    <mergeCell ref="A31:H31"/>
    <mergeCell ref="A8:H8"/>
    <mergeCell ref="A9:H9"/>
    <mergeCell ref="A10:H10"/>
    <mergeCell ref="A16:D16"/>
    <mergeCell ref="E16:F16"/>
    <mergeCell ref="G16:H16"/>
    <mergeCell ref="A2:H2"/>
    <mergeCell ref="A3:H3"/>
    <mergeCell ref="A4:A6"/>
    <mergeCell ref="B4:B6"/>
    <mergeCell ref="C4:C6"/>
    <mergeCell ref="D4:D6"/>
    <mergeCell ref="E4:F5"/>
    <mergeCell ref="G4:H5"/>
  </mergeCells>
  <pageMargins left="0.6" right="0.4" top="0.65" bottom="0.4" header="0.4" footer="0.4"/>
  <pageSetup paperSize="9" scale="70" fitToHeight="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437E-8E73-48F3-8B1C-A4AF4F97F7B1}">
  <sheetPr>
    <pageSetUpPr fitToPage="1"/>
  </sheetPr>
  <dimension ref="A1:H120"/>
  <sheetViews>
    <sheetView zoomScaleNormal="100" workbookViewId="0"/>
  </sheetViews>
  <sheetFormatPr defaultRowHeight="12.75" x14ac:dyDescent="0.2"/>
  <cols>
    <col min="1" max="2" width="6.7109375" customWidth="1"/>
    <col min="3" max="3" width="75.7109375" customWidth="1"/>
    <col min="4" max="8" width="15.7109375" customWidth="1"/>
    <col min="30" max="32" width="0" hidden="1" customWidth="1"/>
  </cols>
  <sheetData>
    <row r="1" spans="1:8" x14ac:dyDescent="0.2">
      <c r="A1" s="9" t="str">
        <f>Source!B1</f>
        <v>Smeta.RU Flash  (495) 974-1589</v>
      </c>
    </row>
    <row r="2" spans="1:8" ht="14.25" x14ac:dyDescent="0.2">
      <c r="C2" s="10"/>
      <c r="D2" s="10"/>
      <c r="E2" s="10"/>
    </row>
    <row r="3" spans="1:8" ht="15" x14ac:dyDescent="0.25">
      <c r="C3" s="23" t="s">
        <v>1279</v>
      </c>
      <c r="D3" s="10"/>
      <c r="E3" s="19" t="s">
        <v>1281</v>
      </c>
    </row>
    <row r="4" spans="1:8" ht="15" x14ac:dyDescent="0.25">
      <c r="C4" s="10"/>
      <c r="D4" s="19"/>
      <c r="E4" s="19"/>
    </row>
    <row r="5" spans="1:8" ht="15" x14ac:dyDescent="0.25">
      <c r="C5" s="23" t="s">
        <v>1280</v>
      </c>
      <c r="D5" s="14" t="s">
        <v>1280</v>
      </c>
      <c r="E5" s="14"/>
    </row>
    <row r="6" spans="1:8" ht="15" x14ac:dyDescent="0.25">
      <c r="C6" s="10"/>
      <c r="D6" s="19"/>
      <c r="E6" s="19"/>
    </row>
    <row r="7" spans="1:8" ht="15" x14ac:dyDescent="0.25">
      <c r="C7" s="23" t="s">
        <v>1280</v>
      </c>
      <c r="D7" s="14" t="s">
        <v>1280</v>
      </c>
      <c r="E7" s="14"/>
    </row>
    <row r="8" spans="1:8" ht="15" x14ac:dyDescent="0.25">
      <c r="C8" s="10"/>
      <c r="D8" s="19"/>
      <c r="E8" s="19"/>
    </row>
    <row r="9" spans="1:8" ht="15" x14ac:dyDescent="0.25">
      <c r="D9" s="19" t="s">
        <v>1282</v>
      </c>
      <c r="E9" s="10"/>
    </row>
    <row r="10" spans="1:8" ht="14.25" x14ac:dyDescent="0.2">
      <c r="D10" s="10"/>
      <c r="E10" s="10"/>
    </row>
    <row r="12" spans="1:8" ht="15.75" x14ac:dyDescent="0.2">
      <c r="B12" s="42" t="str">
        <f>CONCATENATE("Ведомость объемов работ ", IF(Source!AN15&lt;&gt;"", Source!AN15," "))</f>
        <v xml:space="preserve">Ведомость объемов работ  </v>
      </c>
      <c r="C12" s="42"/>
      <c r="D12" s="42"/>
      <c r="E12" s="42"/>
    </row>
    <row r="13" spans="1:8" ht="15" x14ac:dyDescent="0.2">
      <c r="B13" s="43" t="str">
        <f>Source!G12</f>
        <v>Благоустройство кладбища в д. Нижнее Николаевское</v>
      </c>
      <c r="C13" s="43"/>
      <c r="D13" s="43"/>
      <c r="E13" s="43"/>
    </row>
    <row r="14" spans="1:8" hidden="1" x14ac:dyDescent="0.2"/>
    <row r="16" spans="1:8" ht="99.75" x14ac:dyDescent="0.2">
      <c r="A16" s="44" t="s">
        <v>1193</v>
      </c>
      <c r="B16" s="44" t="s">
        <v>1283</v>
      </c>
      <c r="C16" s="44" t="s">
        <v>1195</v>
      </c>
      <c r="D16" s="44" t="s">
        <v>1267</v>
      </c>
      <c r="E16" s="44" t="s">
        <v>1284</v>
      </c>
      <c r="F16" s="44" t="s">
        <v>1285</v>
      </c>
      <c r="G16" s="44" t="s">
        <v>1286</v>
      </c>
      <c r="H16" s="44" t="s">
        <v>1287</v>
      </c>
    </row>
    <row r="17" spans="1:8" ht="14.25" x14ac:dyDescent="0.2">
      <c r="A17" s="44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</row>
    <row r="18" spans="1:8" ht="16.5" x14ac:dyDescent="0.25">
      <c r="A18" s="45" t="str">
        <f>CONCATENATE("Локальная смета: ", Source!G20)</f>
        <v>Локальная смета: Новая локальная смета</v>
      </c>
      <c r="B18" s="45"/>
      <c r="C18" s="45"/>
      <c r="D18" s="45"/>
      <c r="E18" s="45"/>
      <c r="F18" s="45"/>
      <c r="G18" s="45"/>
      <c r="H18" s="45"/>
    </row>
    <row r="19" spans="1:8" ht="16.5" x14ac:dyDescent="0.25">
      <c r="A19" s="45" t="str">
        <f>CONCATENATE("Раздел: ", Source!G24)</f>
        <v>Раздел: Подготовительные работы</v>
      </c>
      <c r="B19" s="45"/>
      <c r="C19" s="45"/>
      <c r="D19" s="45"/>
      <c r="E19" s="45"/>
      <c r="F19" s="45"/>
      <c r="G19" s="45"/>
      <c r="H19" s="45"/>
    </row>
    <row r="20" spans="1:8" ht="14.25" x14ac:dyDescent="0.2">
      <c r="A20" s="44">
        <v>1</v>
      </c>
      <c r="B20" s="44" t="str">
        <f>Source!E28</f>
        <v>1</v>
      </c>
      <c r="C20" s="49" t="str">
        <f>Source!G28</f>
        <v>Валка деревьев мягких пород с корня, диаметр стволов до 16 см</v>
      </c>
      <c r="D20" s="44" t="s">
        <v>19</v>
      </c>
      <c r="E20" s="50">
        <f>Source!I28</f>
        <v>0.2</v>
      </c>
      <c r="F20" s="44" t="str">
        <f>Source!U24</f>
        <v/>
      </c>
      <c r="G20" s="44" t="str">
        <f>"=20/"&amp;"100"</f>
        <v>=20/100</v>
      </c>
      <c r="H20" s="49"/>
    </row>
    <row r="21" spans="1:8" ht="14.25" x14ac:dyDescent="0.2">
      <c r="A21" s="44">
        <v>2</v>
      </c>
      <c r="B21" s="44" t="str">
        <f>Source!E29</f>
        <v>2</v>
      </c>
      <c r="C21" s="49" t="str">
        <f>Source!G29</f>
        <v>Корчевка вручную пней диаметром от 190 до 250 мм</v>
      </c>
      <c r="D21" s="44" t="s">
        <v>31</v>
      </c>
      <c r="E21" s="50">
        <f>Source!I29</f>
        <v>0.2</v>
      </c>
      <c r="F21" s="44" t="str">
        <f>Source!U24</f>
        <v/>
      </c>
      <c r="G21" s="44" t="str">
        <f>"=20/"&amp;"100"</f>
        <v>=20/100</v>
      </c>
      <c r="H21" s="49"/>
    </row>
    <row r="22" spans="1:8" ht="14.25" x14ac:dyDescent="0.2">
      <c r="A22" s="44">
        <v>3</v>
      </c>
      <c r="B22" s="44" t="str">
        <f>Source!E30</f>
        <v>3</v>
      </c>
      <c r="C22" s="49" t="str">
        <f>Source!G30</f>
        <v>Применительно: Демонтаж железобетонных столбов</v>
      </c>
      <c r="D22" s="44" t="s">
        <v>36</v>
      </c>
      <c r="E22" s="50">
        <f>Source!I30</f>
        <v>3.07</v>
      </c>
      <c r="F22" s="44" t="str">
        <f>Source!U24</f>
        <v/>
      </c>
      <c r="G22" s="44" t="str">
        <f>"=307/"&amp;"100"</f>
        <v>=307/100</v>
      </c>
      <c r="H22" s="49"/>
    </row>
    <row r="23" spans="1:8" ht="28.5" x14ac:dyDescent="0.2">
      <c r="A23" s="44">
        <v>4</v>
      </c>
      <c r="B23" s="44" t="str">
        <f>Source!E33</f>
        <v>4</v>
      </c>
      <c r="C23" s="49" t="str">
        <f>Source!G33</f>
        <v>Установка металлических оград по железобетонным столбам без цоколя из сетки высотой до 1,2 м. Демонтаж.</v>
      </c>
      <c r="D23" s="44" t="s">
        <v>57</v>
      </c>
      <c r="E23" s="50">
        <f>Source!I33</f>
        <v>6.1449999999999996</v>
      </c>
      <c r="F23" s="44" t="str">
        <f>Source!U24</f>
        <v/>
      </c>
      <c r="G23" s="44" t="str">
        <f>"=614,5/"&amp;"100"</f>
        <v>=614,5/100</v>
      </c>
      <c r="H23" s="49"/>
    </row>
    <row r="24" spans="1:8" ht="42.75" x14ac:dyDescent="0.2">
      <c r="A24" s="44">
        <v>5</v>
      </c>
      <c r="B24" s="44" t="str">
        <f>Source!E35</f>
        <v>5</v>
      </c>
      <c r="C24" s="49" t="str">
        <f>Source!G35</f>
        <v>Разборка надземной части без сохранения годных материалов деревянных зданий любой этажности</v>
      </c>
      <c r="D24" s="44" t="s">
        <v>71</v>
      </c>
      <c r="E24" s="50">
        <f>Source!I35</f>
        <v>3.15</v>
      </c>
      <c r="F24" s="44" t="str">
        <f>Source!U24</f>
        <v/>
      </c>
      <c r="G24" s="44" t="str">
        <f>"=31,5/"&amp;"10"</f>
        <v>=31,5/10</v>
      </c>
      <c r="H24" s="49"/>
    </row>
    <row r="25" spans="1:8" ht="16.5" x14ac:dyDescent="0.25">
      <c r="A25" s="45" t="str">
        <f>CONCATENATE("Раздел: ", Source!G76)</f>
        <v>Раздел: Ограждение территории</v>
      </c>
      <c r="B25" s="45"/>
      <c r="C25" s="45"/>
      <c r="D25" s="45"/>
      <c r="E25" s="45"/>
      <c r="F25" s="45"/>
      <c r="G25" s="45"/>
      <c r="H25" s="45"/>
    </row>
    <row r="26" spans="1:8" ht="28.5" x14ac:dyDescent="0.2">
      <c r="A26" s="44">
        <v>6</v>
      </c>
      <c r="B26" s="44" t="str">
        <f>Source!E94</f>
        <v>6</v>
      </c>
      <c r="C26" s="49" t="str">
        <f>Source!G94</f>
        <v>Установка металлических оград по железобетонным столбам без цоколя из сетки высотой до 1,7 м</v>
      </c>
      <c r="D26" s="44" t="s">
        <v>57</v>
      </c>
      <c r="E26" s="50">
        <f>Source!I94</f>
        <v>6.2350000000000003</v>
      </c>
      <c r="F26" s="44" t="str">
        <f>Source!U76</f>
        <v/>
      </c>
      <c r="G26" s="44" t="str">
        <f>"=623,5/"&amp;"100"</f>
        <v>=623,5/100</v>
      </c>
      <c r="H26" s="49"/>
    </row>
    <row r="27" spans="1:8" ht="14.25" x14ac:dyDescent="0.2">
      <c r="A27" s="44">
        <v>6.1</v>
      </c>
      <c r="B27" s="44" t="str">
        <f>Source!E95</f>
        <v>6,1</v>
      </c>
      <c r="C27" s="49" t="str">
        <f>Source!G95</f>
        <v>Столбы бетонные</v>
      </c>
      <c r="D27" s="44" t="s">
        <v>47</v>
      </c>
      <c r="E27" s="50">
        <f>Source!I95</f>
        <v>183.9325</v>
      </c>
      <c r="F27" s="44" t="str">
        <f>Source!U76</f>
        <v/>
      </c>
      <c r="G27" s="44"/>
      <c r="H27" s="49"/>
    </row>
    <row r="28" spans="1:8" ht="16.5" x14ac:dyDescent="0.25">
      <c r="A28" s="45" t="str">
        <f>CONCATENATE("Подраздел: ", Source!G98)</f>
        <v>Подраздел: Ворота</v>
      </c>
      <c r="B28" s="45"/>
      <c r="C28" s="45"/>
      <c r="D28" s="45"/>
      <c r="E28" s="45"/>
      <c r="F28" s="45"/>
      <c r="G28" s="45"/>
      <c r="H28" s="45"/>
    </row>
    <row r="29" spans="1:8" ht="28.5" x14ac:dyDescent="0.2">
      <c r="A29" s="44">
        <v>7</v>
      </c>
      <c r="B29" s="44" t="str">
        <f>Source!E102</f>
        <v>7</v>
      </c>
      <c r="C29" s="49" t="str">
        <f>Source!G102</f>
        <v>Установка металлических столбов высотой до 4 м с погружением в бетонное основание</v>
      </c>
      <c r="D29" s="44" t="s">
        <v>36</v>
      </c>
      <c r="E29" s="50">
        <f>Source!I102</f>
        <v>0.02</v>
      </c>
      <c r="F29" s="44" t="str">
        <f>Source!U98</f>
        <v/>
      </c>
      <c r="G29" s="44" t="str">
        <f>"=2/"&amp;"100"</f>
        <v>=2/100</v>
      </c>
      <c r="H29" s="49"/>
    </row>
    <row r="30" spans="1:8" ht="14.25" x14ac:dyDescent="0.2">
      <c r="A30" s="44">
        <v>7.1</v>
      </c>
      <c r="B30" s="44" t="str">
        <f>Source!E103</f>
        <v>7,1</v>
      </c>
      <c r="C30" s="49" t="str">
        <f>Source!G103</f>
        <v>Стойки металлические опорные</v>
      </c>
      <c r="D30" s="44" t="s">
        <v>47</v>
      </c>
      <c r="E30" s="50">
        <f>Source!I103</f>
        <v>2</v>
      </c>
      <c r="F30" s="44" t="str">
        <f>Source!U98</f>
        <v/>
      </c>
      <c r="G30" s="44"/>
      <c r="H30" s="49"/>
    </row>
    <row r="31" spans="1:8" ht="14.25" x14ac:dyDescent="0.2">
      <c r="A31" s="44">
        <v>7.2</v>
      </c>
      <c r="B31" s="44" t="str">
        <f>Source!E104</f>
        <v>7,2</v>
      </c>
      <c r="C31" s="49" t="str">
        <f>Source!G104</f>
        <v>Бетон</v>
      </c>
      <c r="D31" s="44" t="s">
        <v>52</v>
      </c>
      <c r="E31" s="50">
        <f>Source!I104</f>
        <v>0.1268</v>
      </c>
      <c r="F31" s="44" t="str">
        <f>Source!U98</f>
        <v/>
      </c>
      <c r="G31" s="44"/>
      <c r="H31" s="49"/>
    </row>
    <row r="32" spans="1:8" ht="28.5" x14ac:dyDescent="0.2">
      <c r="A32" s="44">
        <v>8</v>
      </c>
      <c r="B32" s="44" t="str">
        <f>Source!E105</f>
        <v>8</v>
      </c>
      <c r="C32" s="49" t="str">
        <f>Source!G105</f>
        <v>Прочие индивидуальные сварные конструкции, масса сборочной единицы до 0,1 т</v>
      </c>
      <c r="D32" s="44" t="s">
        <v>170</v>
      </c>
      <c r="E32" s="50">
        <f>Source!I105</f>
        <v>5.0200000000000002E-2</v>
      </c>
      <c r="F32" s="44" t="str">
        <f>Source!U98</f>
        <v/>
      </c>
      <c r="G32" s="44">
        <f>Source!I105</f>
        <v>5.0200000000000002E-2</v>
      </c>
      <c r="H32" s="49"/>
    </row>
    <row r="33" spans="1:8" ht="14.25" x14ac:dyDescent="0.2">
      <c r="A33" s="44">
        <v>9</v>
      </c>
      <c r="B33" s="44" t="str">
        <f>Source!E106</f>
        <v>9</v>
      </c>
      <c r="C33" s="49" t="str">
        <f>Source!G106</f>
        <v>Бетон дорожный, класс В20 (М250)</v>
      </c>
      <c r="D33" s="44" t="s">
        <v>52</v>
      </c>
      <c r="E33" s="50">
        <f>Source!I106</f>
        <v>0.1268</v>
      </c>
      <c r="F33" s="44" t="str">
        <f>Source!U98</f>
        <v/>
      </c>
      <c r="G33" s="44">
        <f>Source!I106</f>
        <v>0.1268</v>
      </c>
      <c r="H33" s="49"/>
    </row>
    <row r="34" spans="1:8" ht="42.75" x14ac:dyDescent="0.2">
      <c r="A34" s="44">
        <v>10</v>
      </c>
      <c r="B34" s="44" t="str">
        <f>Source!E107</f>
        <v>10</v>
      </c>
      <c r="C34" s="49" t="str">
        <f>Source!G107</f>
        <v>Решетчатые конструкции (стойки, опоры, фермы и пр.), сборка с помощью лебедок ручных (с установкой и снятием их в процессе работы) или вручную (мелких деталей)</v>
      </c>
      <c r="D34" s="44" t="s">
        <v>220</v>
      </c>
      <c r="E34" s="50">
        <f>Source!I107</f>
        <v>0.23300000000000001</v>
      </c>
      <c r="F34" s="44" t="str">
        <f>Source!U98</f>
        <v/>
      </c>
      <c r="G34" s="44">
        <f>Source!I107</f>
        <v>0.23300000000000001</v>
      </c>
      <c r="H34" s="49"/>
    </row>
    <row r="35" spans="1:8" ht="14.25" x14ac:dyDescent="0.2">
      <c r="A35" s="44">
        <v>10.1</v>
      </c>
      <c r="B35" s="44" t="str">
        <f>Source!E108</f>
        <v>10,1</v>
      </c>
      <c r="C35" s="49" t="str">
        <f>Source!G108</f>
        <v>Швеллеры № 40 из стали марки Ст3сп</v>
      </c>
      <c r="D35" s="44" t="s">
        <v>170</v>
      </c>
      <c r="E35" s="50">
        <f>Source!I108</f>
        <v>-0.24045600000000003</v>
      </c>
      <c r="F35" s="44" t="str">
        <f>Source!U98</f>
        <v/>
      </c>
      <c r="G35" s="44"/>
      <c r="H35" s="49"/>
    </row>
    <row r="36" spans="1:8" ht="28.5" x14ac:dyDescent="0.2">
      <c r="A36" s="44">
        <v>11</v>
      </c>
      <c r="B36" s="44" t="str">
        <f>Source!E109</f>
        <v>11</v>
      </c>
      <c r="C36" s="49" t="str">
        <f>Source!G109</f>
        <v>Трубы стальные квадратные из стали марки ст1-3сп/пс размером 20х20 мм, толщина стенки 2 мм</v>
      </c>
      <c r="D36" s="44" t="s">
        <v>170</v>
      </c>
      <c r="E36" s="50">
        <f>Source!I109</f>
        <v>8.4000000000000005E-2</v>
      </c>
      <c r="F36" s="44" t="str">
        <f>Source!U98</f>
        <v/>
      </c>
      <c r="G36" s="44">
        <f>Source!I109</f>
        <v>8.4000000000000005E-2</v>
      </c>
      <c r="H36" s="49"/>
    </row>
    <row r="37" spans="1:8" ht="28.5" x14ac:dyDescent="0.2">
      <c r="A37" s="44">
        <v>12</v>
      </c>
      <c r="B37" s="44" t="str">
        <f>Source!E110</f>
        <v>12</v>
      </c>
      <c r="C37" s="49" t="str">
        <f>Source!G110</f>
        <v>Трубы стальные прямоугольные из стали марки ст1-3сп/пс размером 60х40 мм, толщина стенки 2 мм</v>
      </c>
      <c r="D37" s="44" t="s">
        <v>170</v>
      </c>
      <c r="E37" s="50">
        <f>Source!I110</f>
        <v>6.1400000000000003E-2</v>
      </c>
      <c r="F37" s="44" t="str">
        <f>Source!U98</f>
        <v/>
      </c>
      <c r="G37" s="44">
        <f>Source!I110</f>
        <v>6.1400000000000003E-2</v>
      </c>
      <c r="H37" s="49"/>
    </row>
    <row r="38" spans="1:8" ht="14.25" x14ac:dyDescent="0.2">
      <c r="A38" s="44">
        <v>13</v>
      </c>
      <c r="B38" s="44" t="str">
        <f>Source!E111</f>
        <v>13</v>
      </c>
      <c r="C38" s="49" t="str">
        <f>Source!G111</f>
        <v>Швеллеры № 14 сталь марки Ст3пс</v>
      </c>
      <c r="D38" s="44" t="s">
        <v>170</v>
      </c>
      <c r="E38" s="50">
        <f>Source!I111</f>
        <v>3.7600000000000001E-2</v>
      </c>
      <c r="F38" s="44" t="str">
        <f>Source!U98</f>
        <v/>
      </c>
      <c r="G38" s="44">
        <f>Source!I111</f>
        <v>3.7600000000000001E-2</v>
      </c>
      <c r="H38" s="49"/>
    </row>
    <row r="39" spans="1:8" ht="28.5" x14ac:dyDescent="0.2">
      <c r="A39" s="44">
        <v>14</v>
      </c>
      <c r="B39" s="44" t="str">
        <f>Source!E112</f>
        <v>14</v>
      </c>
      <c r="C39" s="49" t="str">
        <f>Source!G112</f>
        <v>Профили холодногнутые из оцинкованной стали толщиной 0,6-0,65 мм, сумма размеров равная ширине исходной заготовки 101-150 мм</v>
      </c>
      <c r="D39" s="44" t="s">
        <v>170</v>
      </c>
      <c r="E39" s="50">
        <f>Source!I112</f>
        <v>0.05</v>
      </c>
      <c r="F39" s="44" t="str">
        <f>Source!U98</f>
        <v/>
      </c>
      <c r="G39" s="44">
        <f>Source!I112</f>
        <v>0.05</v>
      </c>
      <c r="H39" s="49"/>
    </row>
    <row r="40" spans="1:8" ht="28.5" x14ac:dyDescent="0.2">
      <c r="A40" s="44">
        <v>15</v>
      </c>
      <c r="B40" s="44" t="str">
        <f>Source!E113</f>
        <v>15</v>
      </c>
      <c r="C40" s="49" t="str">
        <f>Source!G113</f>
        <v>Монтаж каркасов ворот большепролетных зданий, ангаров и др. без механизмов открывания</v>
      </c>
      <c r="D40" s="44" t="s">
        <v>220</v>
      </c>
      <c r="E40" s="50">
        <f>Source!I113</f>
        <v>0.23300000000000001</v>
      </c>
      <c r="F40" s="44" t="str">
        <f>Source!U98</f>
        <v/>
      </c>
      <c r="G40" s="44">
        <f>Source!I113</f>
        <v>0.23300000000000001</v>
      </c>
      <c r="H40" s="49"/>
    </row>
    <row r="41" spans="1:8" ht="14.25" x14ac:dyDescent="0.2">
      <c r="A41" s="44">
        <v>15.1</v>
      </c>
      <c r="B41" s="44" t="str">
        <f>Source!E115</f>
        <v>15,2</v>
      </c>
      <c r="C41" s="49" t="str">
        <f>Source!G115</f>
        <v>Конструкции стальные</v>
      </c>
      <c r="D41" s="44" t="s">
        <v>170</v>
      </c>
      <c r="E41" s="50">
        <f>Source!I115</f>
        <v>0.23300000000000001</v>
      </c>
      <c r="F41" s="44" t="str">
        <f>Source!U98</f>
        <v/>
      </c>
      <c r="G41" s="44"/>
      <c r="H41" s="49"/>
    </row>
    <row r="42" spans="1:8" ht="16.5" x14ac:dyDescent="0.25">
      <c r="A42" s="45" t="str">
        <f>CONCATENATE("Подраздел: ", Source!G155)</f>
        <v>Подраздел: Калитка</v>
      </c>
      <c r="B42" s="45"/>
      <c r="C42" s="45"/>
      <c r="D42" s="45"/>
      <c r="E42" s="45"/>
      <c r="F42" s="45"/>
      <c r="G42" s="45"/>
      <c r="H42" s="45"/>
    </row>
    <row r="43" spans="1:8" ht="28.5" x14ac:dyDescent="0.2">
      <c r="A43" s="44">
        <v>16</v>
      </c>
      <c r="B43" s="44" t="str">
        <f>Source!E159</f>
        <v>16</v>
      </c>
      <c r="C43" s="49" t="str">
        <f>Source!G159</f>
        <v>Устройство калиток без установки столбов при металлических оградах и оградах из панелей</v>
      </c>
      <c r="D43" s="44" t="s">
        <v>263</v>
      </c>
      <c r="E43" s="50">
        <f>Source!I159</f>
        <v>0.01</v>
      </c>
      <c r="F43" s="44" t="str">
        <f>Source!U155</f>
        <v/>
      </c>
      <c r="G43" s="44" t="str">
        <f>"=1/"&amp;"100"</f>
        <v>=1/100</v>
      </c>
      <c r="H43" s="49"/>
    </row>
    <row r="44" spans="1:8" ht="14.25" x14ac:dyDescent="0.2">
      <c r="A44" s="44">
        <v>16.100000000000001</v>
      </c>
      <c r="B44" s="44" t="str">
        <f>Source!E160</f>
        <v>16,1</v>
      </c>
      <c r="C44" s="49" t="str">
        <f>Source!G160</f>
        <v>Полотна калиток</v>
      </c>
      <c r="D44" s="44" t="s">
        <v>47</v>
      </c>
      <c r="E44" s="50">
        <f>Source!I160</f>
        <v>1</v>
      </c>
      <c r="F44" s="44" t="str">
        <f>Source!U155</f>
        <v/>
      </c>
      <c r="G44" s="44"/>
      <c r="H44" s="49"/>
    </row>
    <row r="45" spans="1:8" ht="14.25" x14ac:dyDescent="0.2">
      <c r="A45" s="44">
        <v>17</v>
      </c>
      <c r="B45" s="44" t="str">
        <f>Source!E161</f>
        <v>17</v>
      </c>
      <c r="C45" s="49" t="str">
        <f>Source!G161</f>
        <v>Полотна калиток решетчатые высотой до 2,0 м</v>
      </c>
      <c r="D45" s="44" t="s">
        <v>201</v>
      </c>
      <c r="E45" s="50">
        <f>Source!I161</f>
        <v>1.8</v>
      </c>
      <c r="F45" s="44" t="str">
        <f>Source!U155</f>
        <v/>
      </c>
      <c r="G45" s="44">
        <f>Source!I161</f>
        <v>1.8</v>
      </c>
      <c r="H45" s="49"/>
    </row>
    <row r="46" spans="1:8" ht="28.5" x14ac:dyDescent="0.2">
      <c r="A46" s="44">
        <v>18</v>
      </c>
      <c r="B46" s="44" t="str">
        <f>Source!E162</f>
        <v>18</v>
      </c>
      <c r="C46" s="49" t="str">
        <f>Source!G162</f>
        <v>Прочие индивидуальные сварные конструкции, масса сборочной единицы до 0,1 т (столбы)</v>
      </c>
      <c r="D46" s="44" t="s">
        <v>170</v>
      </c>
      <c r="E46" s="50">
        <f>Source!I162</f>
        <v>5.9249999999999997E-3</v>
      </c>
      <c r="F46" s="44" t="str">
        <f>Source!U155</f>
        <v/>
      </c>
      <c r="G46" s="44">
        <f>Source!I162</f>
        <v>5.9249999999999997E-3</v>
      </c>
      <c r="H46" s="49"/>
    </row>
    <row r="47" spans="1:8" ht="14.25" x14ac:dyDescent="0.2">
      <c r="A47" s="44">
        <v>19</v>
      </c>
      <c r="B47" s="44" t="str">
        <f>Source!E163</f>
        <v>19</v>
      </c>
      <c r="C47" s="49" t="str">
        <f>Source!G163</f>
        <v>Заглушка для короба 60х60 мм</v>
      </c>
      <c r="D47" s="44" t="s">
        <v>47</v>
      </c>
      <c r="E47" s="50">
        <f>Source!I163</f>
        <v>6</v>
      </c>
      <c r="F47" s="44" t="str">
        <f>Source!U155</f>
        <v/>
      </c>
      <c r="G47" s="44">
        <f>Source!I163</f>
        <v>6</v>
      </c>
      <c r="H47" s="49"/>
    </row>
    <row r="48" spans="1:8" ht="14.25" x14ac:dyDescent="0.2">
      <c r="A48" s="44">
        <v>20</v>
      </c>
      <c r="B48" s="44" t="str">
        <f>Source!E164</f>
        <v>20</v>
      </c>
      <c r="C48" s="49" t="str">
        <f>Source!G164</f>
        <v>Петля накладная</v>
      </c>
      <c r="D48" s="44" t="s">
        <v>47</v>
      </c>
      <c r="E48" s="50">
        <f>Source!I164</f>
        <v>2</v>
      </c>
      <c r="F48" s="44" t="str">
        <f>Source!U155</f>
        <v/>
      </c>
      <c r="G48" s="44">
        <f>Source!I164</f>
        <v>2</v>
      </c>
      <c r="H48" s="49"/>
    </row>
    <row r="49" spans="1:8" ht="14.25" x14ac:dyDescent="0.2">
      <c r="A49" s="44">
        <v>21</v>
      </c>
      <c r="B49" s="44" t="str">
        <f>Source!E165</f>
        <v>21</v>
      </c>
      <c r="C49" s="49" t="str">
        <f>Source!G165</f>
        <v>Щеколды</v>
      </c>
      <c r="D49" s="44" t="s">
        <v>289</v>
      </c>
      <c r="E49" s="50">
        <f>Source!I165</f>
        <v>1</v>
      </c>
      <c r="F49" s="44" t="str">
        <f>Source!U155</f>
        <v/>
      </c>
      <c r="G49" s="44">
        <f>Source!I165</f>
        <v>1</v>
      </c>
      <c r="H49" s="49"/>
    </row>
    <row r="50" spans="1:8" ht="16.5" x14ac:dyDescent="0.25">
      <c r="A50" s="45" t="str">
        <f>CONCATENATE("Раздел: ", Source!G243)</f>
        <v>Раздел: Площадка под ТКО</v>
      </c>
      <c r="B50" s="45"/>
      <c r="C50" s="45"/>
      <c r="D50" s="45"/>
      <c r="E50" s="45"/>
      <c r="F50" s="45"/>
      <c r="G50" s="45"/>
      <c r="H50" s="45"/>
    </row>
    <row r="51" spans="1:8" ht="28.5" x14ac:dyDescent="0.2">
      <c r="A51" s="44">
        <v>22</v>
      </c>
      <c r="B51" s="44" t="str">
        <f>Source!E247</f>
        <v>22</v>
      </c>
      <c r="C51" s="49" t="str">
        <f>Source!G247</f>
        <v>Разработка грунта вручную в траншеях глубиной до 2 м без креплений с откосами, группа грунтов 1</v>
      </c>
      <c r="D51" s="44" t="s">
        <v>295</v>
      </c>
      <c r="E51" s="50">
        <f>Source!I247</f>
        <v>2.76E-2</v>
      </c>
      <c r="F51" s="44" t="str">
        <f>Source!U243</f>
        <v/>
      </c>
      <c r="G51" s="44" t="str">
        <f>"=2,76/"&amp;"100"</f>
        <v>=2,76/100</v>
      </c>
      <c r="H51" s="49"/>
    </row>
    <row r="52" spans="1:8" ht="28.5" x14ac:dyDescent="0.2">
      <c r="A52" s="44">
        <v>23</v>
      </c>
      <c r="B52" s="44" t="str">
        <f>Source!E248</f>
        <v>23</v>
      </c>
      <c r="C52" s="49" t="str">
        <f>Source!G248</f>
        <v>Погрузка вручную неуплотненного грунта из штабелей и отвалов в транспортные средства, группа грунтов 1</v>
      </c>
      <c r="D52" s="44" t="s">
        <v>303</v>
      </c>
      <c r="E52" s="50">
        <f>Source!I248</f>
        <v>2.76E-2</v>
      </c>
      <c r="F52" s="44" t="str">
        <f>Source!U243</f>
        <v/>
      </c>
      <c r="G52" s="44" t="str">
        <f>"=2,76/"&amp;"100"</f>
        <v>=2,76/100</v>
      </c>
      <c r="H52" s="49"/>
    </row>
    <row r="53" spans="1:8" ht="28.5" x14ac:dyDescent="0.2">
      <c r="A53" s="44">
        <v>24</v>
      </c>
      <c r="B53" s="44" t="str">
        <f>Source!E249</f>
        <v>24</v>
      </c>
      <c r="C53" s="49" t="str">
        <f>Source!G249</f>
        <v>Перевозка грузов I класса автомобилями-самосвалами грузоподъемностью 10 т работающих вне карьера на расстояние до 5 км</v>
      </c>
      <c r="D53" s="44" t="s">
        <v>308</v>
      </c>
      <c r="E53" s="50">
        <f>Source!I249</f>
        <v>4.83</v>
      </c>
      <c r="F53" s="44" t="str">
        <f>Source!U243</f>
        <v/>
      </c>
      <c r="G53" s="44">
        <f>Source!I249</f>
        <v>4.83</v>
      </c>
      <c r="H53" s="49"/>
    </row>
    <row r="54" spans="1:8" ht="57" x14ac:dyDescent="0.2">
      <c r="A54" s="44">
        <v>25</v>
      </c>
      <c r="B54" s="44" t="str">
        <f>Source!E250</f>
        <v>25</v>
      </c>
      <c r="C54" s="49" t="str">
        <f>Source!G250</f>
        <v>Устройство подстилающих и выравнивающих слоев оснований из песчано-гравийной смеси, дресвы</v>
      </c>
      <c r="D54" s="44" t="s">
        <v>316</v>
      </c>
      <c r="E54" s="50">
        <f>Source!I250</f>
        <v>2.07E-2</v>
      </c>
      <c r="F54" s="44" t="str">
        <f>Source!U243</f>
        <v/>
      </c>
      <c r="G54" s="44" t="str">
        <f>"=2,07/"&amp;"100"</f>
        <v>=2,07/100</v>
      </c>
      <c r="H54" s="49"/>
    </row>
    <row r="55" spans="1:8" ht="28.5" x14ac:dyDescent="0.2">
      <c r="A55" s="44">
        <v>26</v>
      </c>
      <c r="B55" s="44" t="str">
        <f>Source!E252</f>
        <v>26</v>
      </c>
      <c r="C55" s="49" t="str">
        <f>Source!G252</f>
        <v>Смесь песчано-гравийная природная обогащенная с содержанием гравия 65-75 %</v>
      </c>
      <c r="D55" s="44" t="s">
        <v>52</v>
      </c>
      <c r="E55" s="50">
        <f>Source!I252</f>
        <v>2.5253999999999999</v>
      </c>
      <c r="F55" s="44" t="str">
        <f>Source!U243</f>
        <v/>
      </c>
      <c r="G55" s="44">
        <f>Source!I252</f>
        <v>2.5253999999999999</v>
      </c>
      <c r="H55" s="49"/>
    </row>
    <row r="56" spans="1:8" ht="57" x14ac:dyDescent="0.2">
      <c r="A56" s="44">
        <v>27</v>
      </c>
      <c r="B56" s="44" t="str">
        <f>Source!E253</f>
        <v>27</v>
      </c>
      <c r="C56" s="49" t="str">
        <f>Source!G253</f>
        <v>Устройство бетонной подготовки</v>
      </c>
      <c r="D56" s="44" t="s">
        <v>329</v>
      </c>
      <c r="E56" s="50">
        <f>Source!I253</f>
        <v>2.76E-2</v>
      </c>
      <c r="F56" s="44" t="str">
        <f>Source!U243</f>
        <v/>
      </c>
      <c r="G56" s="44" t="str">
        <f>"=2,76/"&amp;"100"</f>
        <v>=2,76/100</v>
      </c>
      <c r="H56" s="49"/>
    </row>
    <row r="57" spans="1:8" ht="14.25" x14ac:dyDescent="0.2">
      <c r="A57" s="44">
        <v>27.1</v>
      </c>
      <c r="B57" s="44" t="str">
        <f>Source!E254</f>
        <v>27,1</v>
      </c>
      <c r="C57" s="49" t="str">
        <f>Source!G254</f>
        <v>Бетон тяжелый, крупность заполнителя 20 мм, класс В3,5 (М50)</v>
      </c>
      <c r="D57" s="44" t="s">
        <v>52</v>
      </c>
      <c r="E57" s="50">
        <f>Source!I254</f>
        <v>-2.8151999999999999</v>
      </c>
      <c r="F57" s="44" t="str">
        <f>Source!U243</f>
        <v/>
      </c>
      <c r="G57" s="44"/>
      <c r="H57" s="49"/>
    </row>
    <row r="58" spans="1:8" ht="14.25" x14ac:dyDescent="0.2">
      <c r="A58" s="44">
        <v>28</v>
      </c>
      <c r="B58" s="44" t="str">
        <f>Source!E255</f>
        <v>28</v>
      </c>
      <c r="C58" s="49" t="str">
        <f>Source!G255</f>
        <v>Бетон тяжелый, крупность заполнителя 20 мм, класс В20 (М250)</v>
      </c>
      <c r="D58" s="44" t="s">
        <v>52</v>
      </c>
      <c r="E58" s="50">
        <f>Source!I255</f>
        <v>2.8151999999999999</v>
      </c>
      <c r="F58" s="44" t="str">
        <f>Source!U243</f>
        <v/>
      </c>
      <c r="G58" s="44">
        <f>Source!I255</f>
        <v>2.8151999999999999</v>
      </c>
      <c r="H58" s="49"/>
    </row>
    <row r="59" spans="1:8" ht="28.5" x14ac:dyDescent="0.2">
      <c r="A59" s="44">
        <v>29</v>
      </c>
      <c r="B59" s="44" t="str">
        <f>Source!E257</f>
        <v>29</v>
      </c>
      <c r="C59" s="49" t="str">
        <f>Source!G257</f>
        <v>Установка металлических столбов высотой до 4 м на подготовленный бетонный фундамент</v>
      </c>
      <c r="D59" s="44" t="s">
        <v>36</v>
      </c>
      <c r="E59" s="50">
        <f>Source!I257</f>
        <v>0.06</v>
      </c>
      <c r="F59" s="44" t="str">
        <f>Source!U243</f>
        <v/>
      </c>
      <c r="G59" s="44" t="str">
        <f>"=6/"&amp;"100"</f>
        <v>=6/100</v>
      </c>
      <c r="H59" s="49"/>
    </row>
    <row r="60" spans="1:8" ht="14.25" x14ac:dyDescent="0.2">
      <c r="A60" s="44">
        <v>29.1</v>
      </c>
      <c r="B60" s="44" t="str">
        <f>Source!E258</f>
        <v>29,1</v>
      </c>
      <c r="C60" s="49" t="str">
        <f>Source!G258</f>
        <v>Болты анкерные</v>
      </c>
      <c r="D60" s="44" t="s">
        <v>170</v>
      </c>
      <c r="E60" s="50">
        <f>Source!I258</f>
        <v>1.8E-3</v>
      </c>
      <c r="F60" s="44" t="str">
        <f>Source!U243</f>
        <v/>
      </c>
      <c r="G60" s="44"/>
      <c r="H60" s="49"/>
    </row>
    <row r="61" spans="1:8" ht="14.25" x14ac:dyDescent="0.2">
      <c r="A61" s="44">
        <v>29.2</v>
      </c>
      <c r="B61" s="44" t="str">
        <f>Source!E259</f>
        <v>29,2</v>
      </c>
      <c r="C61" s="49" t="str">
        <f>Source!G259</f>
        <v>Стойки металлические опорные</v>
      </c>
      <c r="D61" s="44" t="s">
        <v>47</v>
      </c>
      <c r="E61" s="50">
        <f>Source!I259</f>
        <v>6</v>
      </c>
      <c r="F61" s="44" t="str">
        <f>Source!U243</f>
        <v/>
      </c>
      <c r="G61" s="44"/>
      <c r="H61" s="49"/>
    </row>
    <row r="62" spans="1:8" ht="28.5" x14ac:dyDescent="0.2">
      <c r="A62" s="44">
        <v>30</v>
      </c>
      <c r="B62" s="44" t="str">
        <f>Source!E260</f>
        <v>30</v>
      </c>
      <c r="C62" s="49" t="str">
        <f>Source!G260</f>
        <v>Трубы стальные квадратные из стали марки ст1-3сп/пс размером 60х60 мм, толщина стенки 3 мм</v>
      </c>
      <c r="D62" s="44" t="s">
        <v>170</v>
      </c>
      <c r="E62" s="50">
        <f>Source!I260</f>
        <v>5.67E-2</v>
      </c>
      <c r="F62" s="44" t="str">
        <f>Source!U243</f>
        <v/>
      </c>
      <c r="G62" s="44">
        <f>Source!I260</f>
        <v>5.67E-2</v>
      </c>
      <c r="H62" s="49"/>
    </row>
    <row r="63" spans="1:8" ht="28.5" x14ac:dyDescent="0.2">
      <c r="A63" s="44">
        <v>31</v>
      </c>
      <c r="B63" s="44" t="str">
        <f>Source!E261</f>
        <v>31</v>
      </c>
      <c r="C63" s="49" t="str">
        <f>Source!G261</f>
        <v>Монтаж связей и распорок из одиночных и парных уголков, гнутосварных профилей для пролетов до 24 м при высоте здания до 25 м</v>
      </c>
      <c r="D63" s="44" t="s">
        <v>220</v>
      </c>
      <c r="E63" s="50">
        <f>Source!I261</f>
        <v>5.0999999999999997E-2</v>
      </c>
      <c r="F63" s="44" t="str">
        <f>Source!U243</f>
        <v/>
      </c>
      <c r="G63" s="44">
        <f>Source!I261</f>
        <v>5.0999999999999997E-2</v>
      </c>
      <c r="H63" s="49"/>
    </row>
    <row r="64" spans="1:8" ht="14.25" x14ac:dyDescent="0.2">
      <c r="A64" s="44">
        <v>31.1</v>
      </c>
      <c r="B64" s="44" t="str">
        <f>Source!E262</f>
        <v>31,1</v>
      </c>
      <c r="C64" s="49" t="str">
        <f>Source!G262</f>
        <v>Конструкции стальные</v>
      </c>
      <c r="D64" s="44" t="s">
        <v>170</v>
      </c>
      <c r="E64" s="50">
        <f>Source!I262</f>
        <v>5.0999999999999997E-2</v>
      </c>
      <c r="F64" s="44" t="str">
        <f>Source!U243</f>
        <v/>
      </c>
      <c r="G64" s="44"/>
      <c r="H64" s="49"/>
    </row>
    <row r="65" spans="1:8" ht="28.5" x14ac:dyDescent="0.2">
      <c r="A65" s="44">
        <v>32</v>
      </c>
      <c r="B65" s="44" t="str">
        <f>Source!E263</f>
        <v>32</v>
      </c>
      <c r="C65" s="49" t="str">
        <f>Source!G263</f>
        <v>Трубы стальные квадратные (ГОСТ 8639-82) размером 40х40 мм, толщина стенки 3 мм</v>
      </c>
      <c r="D65" s="44" t="s">
        <v>368</v>
      </c>
      <c r="E65" s="50">
        <f>Source!I263</f>
        <v>14.7</v>
      </c>
      <c r="F65" s="44" t="str">
        <f>Source!U243</f>
        <v/>
      </c>
      <c r="G65" s="44">
        <f>Source!I263</f>
        <v>14.7</v>
      </c>
      <c r="H65" s="49"/>
    </row>
    <row r="66" spans="1:8" ht="28.5" x14ac:dyDescent="0.2">
      <c r="A66" s="44">
        <v>33</v>
      </c>
      <c r="B66" s="44" t="str">
        <f>Source!E264</f>
        <v>33</v>
      </c>
      <c r="C66" s="49" t="str">
        <f>Source!G264</f>
        <v>Монтаж ограждающих конструкций стен из профилированного листа при высоте здания до 30 м</v>
      </c>
      <c r="D66" s="44" t="s">
        <v>373</v>
      </c>
      <c r="E66" s="50">
        <f>Source!I264</f>
        <v>0.13500000000000001</v>
      </c>
      <c r="F66" s="44" t="str">
        <f>Source!U243</f>
        <v/>
      </c>
      <c r="G66" s="44" t="str">
        <f>"=13,5/"&amp;"100"</f>
        <v>=13,5/100</v>
      </c>
      <c r="H66" s="49"/>
    </row>
    <row r="67" spans="1:8" ht="14.25" x14ac:dyDescent="0.2">
      <c r="A67" s="44">
        <v>33.1</v>
      </c>
      <c r="B67" s="44" t="str">
        <f>Source!E267</f>
        <v>33,3</v>
      </c>
      <c r="C67" s="49" t="str">
        <f>Source!G267</f>
        <v>Конструкции стальные нащельников и деталей обрамления</v>
      </c>
      <c r="D67" s="44" t="s">
        <v>170</v>
      </c>
      <c r="E67" s="50">
        <f>Source!I267</f>
        <v>7.803E-3</v>
      </c>
      <c r="F67" s="44" t="str">
        <f>Source!U243</f>
        <v/>
      </c>
      <c r="G67" s="44"/>
      <c r="H67" s="49"/>
    </row>
    <row r="68" spans="1:8" ht="14.25" x14ac:dyDescent="0.2">
      <c r="A68" s="44">
        <v>34</v>
      </c>
      <c r="B68" s="44" t="str">
        <f>Source!E268</f>
        <v>34</v>
      </c>
      <c r="C68" s="49" t="str">
        <f>Source!G268</f>
        <v>Профнастил оцинкованный с покрытием полиэстер C10-1100-0,5</v>
      </c>
      <c r="D68" s="44" t="s">
        <v>201</v>
      </c>
      <c r="E68" s="50">
        <f>Source!I268</f>
        <v>14.85</v>
      </c>
      <c r="F68" s="44" t="str">
        <f>Source!U243</f>
        <v/>
      </c>
      <c r="G68" s="44">
        <f>Source!I268</f>
        <v>14.85</v>
      </c>
      <c r="H68" s="49"/>
    </row>
    <row r="69" spans="1:8" ht="28.5" x14ac:dyDescent="0.2">
      <c r="A69" s="44">
        <v>35</v>
      </c>
      <c r="B69" s="44" t="str">
        <f>Source!E269</f>
        <v>35</v>
      </c>
      <c r="C69" s="49" t="str">
        <f>Source!G269</f>
        <v>Винты самонарезающие для крепления профилированного настила и панелей к несущим конструкциям</v>
      </c>
      <c r="D69" s="44" t="s">
        <v>170</v>
      </c>
      <c r="E69" s="50">
        <f>Source!I269</f>
        <v>4.0000000000000001E-3</v>
      </c>
      <c r="F69" s="44" t="str">
        <f>Source!U243</f>
        <v/>
      </c>
      <c r="G69" s="44">
        <f>Source!I269</f>
        <v>4.0000000000000001E-3</v>
      </c>
      <c r="H69" s="49"/>
    </row>
    <row r="70" spans="1:8" ht="14.25" x14ac:dyDescent="0.2">
      <c r="A70" s="44">
        <v>36</v>
      </c>
      <c r="B70" s="44" t="str">
        <f>Source!E271</f>
        <v>36</v>
      </c>
      <c r="C70" s="49" t="str">
        <f>Source!G271</f>
        <v>Контейнер мусоросборный К-1 для мусоропровода</v>
      </c>
      <c r="D70" s="44" t="s">
        <v>47</v>
      </c>
      <c r="E70" s="50">
        <f>Source!I271</f>
        <v>3</v>
      </c>
      <c r="F70" s="44" t="str">
        <f>Source!U243</f>
        <v/>
      </c>
      <c r="G70" s="44">
        <f>Source!I271</f>
        <v>3</v>
      </c>
      <c r="H70" s="49"/>
    </row>
    <row r="71" spans="1:8" ht="16.5" x14ac:dyDescent="0.25">
      <c r="A71" s="45" t="str">
        <f>CONCATENATE("Раздел: ", Source!G311)</f>
        <v>Раздел: Площадка для прощания</v>
      </c>
      <c r="B71" s="45"/>
      <c r="C71" s="45"/>
      <c r="D71" s="45"/>
      <c r="E71" s="45"/>
      <c r="F71" s="45"/>
      <c r="G71" s="45"/>
      <c r="H71" s="45"/>
    </row>
    <row r="72" spans="1:8" ht="57" x14ac:dyDescent="0.2">
      <c r="A72" s="44">
        <v>37</v>
      </c>
      <c r="B72" s="44" t="str">
        <f>Source!E315</f>
        <v>37</v>
      </c>
      <c r="C72" s="49" t="str">
        <f>Source!G315</f>
        <v>Устройство бетонной подготовки</v>
      </c>
      <c r="D72" s="44" t="s">
        <v>329</v>
      </c>
      <c r="E72" s="50">
        <f>Source!I315</f>
        <v>3.5999999999999997E-2</v>
      </c>
      <c r="F72" s="44" t="str">
        <f>Source!U311</f>
        <v/>
      </c>
      <c r="G72" s="44" t="str">
        <f>"=3,6/"&amp;"100"</f>
        <v>=3,6/100</v>
      </c>
      <c r="H72" s="49"/>
    </row>
    <row r="73" spans="1:8" ht="14.25" x14ac:dyDescent="0.2">
      <c r="A73" s="44">
        <v>37.1</v>
      </c>
      <c r="B73" s="44" t="str">
        <f>Source!E316</f>
        <v>37,1</v>
      </c>
      <c r="C73" s="49" t="str">
        <f>Source!G316</f>
        <v>Бетон тяжелый, крупность заполнителя 20 мм, класс В3,5 (М50)</v>
      </c>
      <c r="D73" s="44" t="s">
        <v>52</v>
      </c>
      <c r="E73" s="50">
        <f>Source!I316</f>
        <v>-3.6719999999999997</v>
      </c>
      <c r="F73" s="44" t="str">
        <f>Source!U311</f>
        <v/>
      </c>
      <c r="G73" s="44"/>
      <c r="H73" s="49"/>
    </row>
    <row r="74" spans="1:8" ht="14.25" x14ac:dyDescent="0.2">
      <c r="A74" s="44">
        <v>38</v>
      </c>
      <c r="B74" s="44" t="str">
        <f>Source!E317</f>
        <v>38</v>
      </c>
      <c r="C74" s="49" t="str">
        <f>Source!G317</f>
        <v>Бетон тяжелый, крупность заполнителя 20 мм, класс В15 (М200)</v>
      </c>
      <c r="D74" s="44" t="s">
        <v>52</v>
      </c>
      <c r="E74" s="50">
        <f>Source!I317</f>
        <v>3.6720000000000002</v>
      </c>
      <c r="F74" s="44" t="str">
        <f>Source!U311</f>
        <v/>
      </c>
      <c r="G74" s="44">
        <f>Source!I317</f>
        <v>3.6720000000000002</v>
      </c>
      <c r="H74" s="49"/>
    </row>
    <row r="75" spans="1:8" ht="57" x14ac:dyDescent="0.2">
      <c r="A75" s="44">
        <v>39</v>
      </c>
      <c r="B75" s="44" t="str">
        <f>Source!E318</f>
        <v>39</v>
      </c>
      <c r="C75" s="49" t="str">
        <f>Source!G318</f>
        <v>Устройство железобетонных фундаментов общего назначения под колонны объемом до 3 м3</v>
      </c>
      <c r="D75" s="44" t="s">
        <v>329</v>
      </c>
      <c r="E75" s="50">
        <f>Source!I318</f>
        <v>4.7999999999999996E-3</v>
      </c>
      <c r="F75" s="44" t="str">
        <f>Source!U311</f>
        <v/>
      </c>
      <c r="G75" s="44" t="str">
        <f>"=0,48/"&amp;"100"</f>
        <v>=0,48/100</v>
      </c>
      <c r="H75" s="49"/>
    </row>
    <row r="76" spans="1:8" ht="28.5" x14ac:dyDescent="0.2">
      <c r="A76" s="44">
        <v>40</v>
      </c>
      <c r="B76" s="44" t="str">
        <f>Source!E320</f>
        <v>40</v>
      </c>
      <c r="C76" s="49" t="str">
        <f>Source!G320</f>
        <v>Шлифовка бетонных или металлоцементных покрытий (постамент)</v>
      </c>
      <c r="D76" s="44" t="s">
        <v>430</v>
      </c>
      <c r="E76" s="50">
        <f>Source!I320</f>
        <v>3.9199999999999999E-2</v>
      </c>
      <c r="F76" s="44" t="str">
        <f>Source!U311</f>
        <v/>
      </c>
      <c r="G76" s="44" t="str">
        <f>"=3,92/"&amp;"100"</f>
        <v>=3,92/100</v>
      </c>
      <c r="H76" s="49"/>
    </row>
    <row r="77" spans="1:8" ht="57" x14ac:dyDescent="0.2">
      <c r="A77" s="44">
        <v>41</v>
      </c>
      <c r="B77" s="44" t="str">
        <f>Source!E321</f>
        <v>41</v>
      </c>
      <c r="C77" s="49" t="str">
        <f>Source!G321</f>
        <v>Грунтование водно-дисперсионной грунтовкой "Нортекс-Грунт" поверхностей пористых (камень, кирпич, бетон и т д)</v>
      </c>
      <c r="D77" s="44" t="s">
        <v>439</v>
      </c>
      <c r="E77" s="50">
        <f>Source!I321</f>
        <v>3.9199999999999999E-2</v>
      </c>
      <c r="F77" s="44" t="str">
        <f>Source!U311</f>
        <v/>
      </c>
      <c r="G77" s="44" t="str">
        <f>"=3,92/"&amp;"100"</f>
        <v>=3,92/100</v>
      </c>
      <c r="H77" s="49"/>
    </row>
    <row r="78" spans="1:8" ht="42.75" x14ac:dyDescent="0.2">
      <c r="A78" s="44">
        <v>42</v>
      </c>
      <c r="B78" s="44" t="str">
        <f>Source!E322</f>
        <v>42</v>
      </c>
      <c r="C78" s="49" t="str">
        <f>Source!G322</f>
        <v>Окраска водно-дисперсионными акриловыми составами улучшенная по сборным конструкциям стен, подготовленным под окраску</v>
      </c>
      <c r="D78" s="44" t="s">
        <v>397</v>
      </c>
      <c r="E78" s="50">
        <f>Source!I322</f>
        <v>3.9199999999999999E-2</v>
      </c>
      <c r="F78" s="44" t="str">
        <f>Source!U311</f>
        <v/>
      </c>
      <c r="G78" s="44" t="str">
        <f>"=3,92/"&amp;"100"</f>
        <v>=3,92/100</v>
      </c>
      <c r="H78" s="49"/>
    </row>
    <row r="79" spans="1:8" ht="28.5" x14ac:dyDescent="0.2">
      <c r="A79" s="44">
        <v>43</v>
      </c>
      <c r="B79" s="44" t="str">
        <f>Source!E323</f>
        <v>43</v>
      </c>
      <c r="C79" s="49" t="str">
        <f>Source!G323</f>
        <v>Установка металлических столбов высотой до 4 м с погружением в бетонное основание</v>
      </c>
      <c r="D79" s="44" t="s">
        <v>36</v>
      </c>
      <c r="E79" s="50">
        <f>Source!I323</f>
        <v>0.1</v>
      </c>
      <c r="F79" s="44" t="str">
        <f>Source!U311</f>
        <v/>
      </c>
      <c r="G79" s="44" t="str">
        <f>"=10/"&amp;"100"</f>
        <v>=10/100</v>
      </c>
      <c r="H79" s="49"/>
    </row>
    <row r="80" spans="1:8" ht="14.25" x14ac:dyDescent="0.2">
      <c r="A80" s="44">
        <v>43.1</v>
      </c>
      <c r="B80" s="44" t="str">
        <f>Source!E324</f>
        <v>43,1</v>
      </c>
      <c r="C80" s="49" t="str">
        <f>Source!G324</f>
        <v>Стойки металлические опорные</v>
      </c>
      <c r="D80" s="44" t="s">
        <v>47</v>
      </c>
      <c r="E80" s="50">
        <f>Source!I324</f>
        <v>10</v>
      </c>
      <c r="F80" s="44" t="str">
        <f>Source!U311</f>
        <v/>
      </c>
      <c r="G80" s="44"/>
      <c r="H80" s="49"/>
    </row>
    <row r="81" spans="1:8" ht="14.25" x14ac:dyDescent="0.2">
      <c r="A81" s="44">
        <v>43.2</v>
      </c>
      <c r="B81" s="44" t="str">
        <f>Source!E325</f>
        <v>43,2</v>
      </c>
      <c r="C81" s="49" t="str">
        <f>Source!G325</f>
        <v>Бетон</v>
      </c>
      <c r="D81" s="44" t="s">
        <v>52</v>
      </c>
      <c r="E81" s="50">
        <f>Source!I325</f>
        <v>0.63400000000000001</v>
      </c>
      <c r="F81" s="44" t="str">
        <f>Source!U311</f>
        <v/>
      </c>
      <c r="G81" s="44"/>
      <c r="H81" s="49"/>
    </row>
    <row r="82" spans="1:8" ht="28.5" x14ac:dyDescent="0.2">
      <c r="A82" s="44">
        <v>44</v>
      </c>
      <c r="B82" s="44" t="str">
        <f>Source!E326</f>
        <v>44</v>
      </c>
      <c r="C82" s="49" t="str">
        <f>Source!G326</f>
        <v>Трубы стальные электросварные прямошовные (ГОСТ 10704-91), наружный диаметр 108 мм, толщина стенки 4,0 мм</v>
      </c>
      <c r="D82" s="44" t="s">
        <v>368</v>
      </c>
      <c r="E82" s="50">
        <f>Source!I326</f>
        <v>40</v>
      </c>
      <c r="F82" s="44" t="str">
        <f>Source!U311</f>
        <v/>
      </c>
      <c r="G82" s="44">
        <f>Source!I326</f>
        <v>40</v>
      </c>
      <c r="H82" s="49"/>
    </row>
    <row r="83" spans="1:8" ht="14.25" x14ac:dyDescent="0.2">
      <c r="A83" s="44">
        <v>45</v>
      </c>
      <c r="B83" s="44" t="str">
        <f>Source!E327</f>
        <v>45</v>
      </c>
      <c r="C83" s="49" t="str">
        <f>Source!G327</f>
        <v>Бетон тяжелый, крупность заполнителя 20 мм, класс В15 (М200)</v>
      </c>
      <c r="D83" s="44" t="s">
        <v>52</v>
      </c>
      <c r="E83" s="50">
        <f>Source!I327</f>
        <v>0.63400000000000001</v>
      </c>
      <c r="F83" s="44" t="str">
        <f>Source!U311</f>
        <v/>
      </c>
      <c r="G83" s="44">
        <f>Source!I327</f>
        <v>0.63400000000000001</v>
      </c>
      <c r="H83" s="49"/>
    </row>
    <row r="84" spans="1:8" ht="28.5" x14ac:dyDescent="0.2">
      <c r="A84" s="44">
        <v>46</v>
      </c>
      <c r="B84" s="44" t="str">
        <f>Source!E328</f>
        <v>46</v>
      </c>
      <c r="C84" s="49" t="str">
        <f>Source!G328</f>
        <v>Монтаж прогонов при шаге ферм до 12 м при высоте здания до 25 м</v>
      </c>
      <c r="D84" s="44" t="s">
        <v>220</v>
      </c>
      <c r="E84" s="50">
        <f>Source!I328</f>
        <v>0.29120000000000001</v>
      </c>
      <c r="F84" s="44" t="str">
        <f>Source!U311</f>
        <v/>
      </c>
      <c r="G84" s="44">
        <f>Source!I328</f>
        <v>0.29120000000000001</v>
      </c>
      <c r="H84" s="49"/>
    </row>
    <row r="85" spans="1:8" ht="14.25" x14ac:dyDescent="0.2">
      <c r="A85" s="44">
        <v>46.1</v>
      </c>
      <c r="B85" s="44" t="str">
        <f>Source!E329</f>
        <v>46,1</v>
      </c>
      <c r="C85" s="49" t="str">
        <f>Source!G329</f>
        <v>Конструкции стальные</v>
      </c>
      <c r="D85" s="44" t="s">
        <v>170</v>
      </c>
      <c r="E85" s="50">
        <f>Source!I329</f>
        <v>0.29120000000000001</v>
      </c>
      <c r="F85" s="44" t="str">
        <f>Source!U311</f>
        <v/>
      </c>
      <c r="G85" s="44"/>
      <c r="H85" s="49"/>
    </row>
    <row r="86" spans="1:8" ht="14.25" x14ac:dyDescent="0.2">
      <c r="A86" s="44">
        <v>47</v>
      </c>
      <c r="B86" s="44" t="str">
        <f>Source!E330</f>
        <v>47</v>
      </c>
      <c r="C86" s="49" t="str">
        <f>Source!G330</f>
        <v>Швеллеры № 12 сталь марки Ст3пс</v>
      </c>
      <c r="D86" s="44" t="s">
        <v>170</v>
      </c>
      <c r="E86" s="50">
        <f>Source!I330</f>
        <v>0.29120000000000001</v>
      </c>
      <c r="F86" s="44" t="str">
        <f>Source!U311</f>
        <v/>
      </c>
      <c r="G86" s="44" t="str">
        <f>"=28*"&amp;"10,4/"&amp;"1000"</f>
        <v>=28*10,4/1000</v>
      </c>
      <c r="H86" s="49"/>
    </row>
    <row r="87" spans="1:8" ht="28.5" x14ac:dyDescent="0.2">
      <c r="A87" s="44">
        <v>48</v>
      </c>
      <c r="B87" s="44" t="str">
        <f>Source!E331</f>
        <v>48</v>
      </c>
      <c r="C87" s="49" t="str">
        <f>Source!G331</f>
        <v>Монтаж кровельного покрытия из профилированного листа при высоте здания до 25 м</v>
      </c>
      <c r="D87" s="44" t="s">
        <v>430</v>
      </c>
      <c r="E87" s="50">
        <f>Source!I331</f>
        <v>0.24</v>
      </c>
      <c r="F87" s="44" t="str">
        <f>Source!U311</f>
        <v/>
      </c>
      <c r="G87" s="44" t="str">
        <f>"=24/"&amp;"100"</f>
        <v>=24/100</v>
      </c>
      <c r="H87" s="49"/>
    </row>
    <row r="88" spans="1:8" ht="14.25" x14ac:dyDescent="0.2">
      <c r="A88" s="44">
        <v>49</v>
      </c>
      <c r="B88" s="44" t="str">
        <f>Source!E334</f>
        <v>49</v>
      </c>
      <c r="C88" s="49" t="str">
        <f>Source!G334</f>
        <v>Шурупы-саморезы кровельные оцинкованные 5,5х38 мм</v>
      </c>
      <c r="D88" s="44" t="s">
        <v>475</v>
      </c>
      <c r="E88" s="50">
        <f>Source!I334</f>
        <v>20</v>
      </c>
      <c r="F88" s="44" t="str">
        <f>Source!U311</f>
        <v/>
      </c>
      <c r="G88" s="44" t="str">
        <f>"=200/"&amp;"10"</f>
        <v>=200/10</v>
      </c>
      <c r="H88" s="49"/>
    </row>
    <row r="89" spans="1:8" ht="14.25" x14ac:dyDescent="0.2">
      <c r="A89" s="44">
        <v>50</v>
      </c>
      <c r="B89" s="44" t="str">
        <f>Source!E335</f>
        <v>50</v>
      </c>
      <c r="C89" s="49" t="str">
        <f>Source!G335</f>
        <v>Профилированный настил оцинкованный С8-1150-0,55</v>
      </c>
      <c r="D89" s="44" t="s">
        <v>170</v>
      </c>
      <c r="E89" s="50">
        <f>Source!I335</f>
        <v>0.11328000000000001</v>
      </c>
      <c r="F89" s="44" t="str">
        <f>Source!U311</f>
        <v/>
      </c>
      <c r="G89" s="44">
        <f>Source!I335</f>
        <v>0.11328000000000001</v>
      </c>
      <c r="H89" s="49"/>
    </row>
    <row r="90" spans="1:8" ht="14.25" x14ac:dyDescent="0.2">
      <c r="A90" s="44">
        <v>51</v>
      </c>
      <c r="B90" s="44" t="str">
        <f>Source!E336</f>
        <v>51</v>
      </c>
      <c r="C90" s="49" t="str">
        <f>Source!G336</f>
        <v>Постановка болтов строительных с гайками и шайбами</v>
      </c>
      <c r="D90" s="44" t="s">
        <v>484</v>
      </c>
      <c r="E90" s="50">
        <f>Source!I336</f>
        <v>0.6</v>
      </c>
      <c r="F90" s="44" t="str">
        <f>Source!U311</f>
        <v/>
      </c>
      <c r="G90" s="44" t="str">
        <f>"=60/"&amp;"100"</f>
        <v>=60/100</v>
      </c>
      <c r="H90" s="49"/>
    </row>
    <row r="91" spans="1:8" ht="14.25" x14ac:dyDescent="0.2">
      <c r="A91" s="44">
        <v>51.1</v>
      </c>
      <c r="B91" s="44" t="str">
        <f>Source!E337</f>
        <v>51,1</v>
      </c>
      <c r="C91" s="49" t="str">
        <f>Source!G337</f>
        <v>Болты с гайками и шайбами строительные</v>
      </c>
      <c r="D91" s="44" t="s">
        <v>170</v>
      </c>
      <c r="E91" s="50">
        <f>Source!I337</f>
        <v>3.0000000000000001E-3</v>
      </c>
      <c r="F91" s="44" t="str">
        <f>Source!U311</f>
        <v/>
      </c>
      <c r="G91" s="44"/>
      <c r="H91" s="49"/>
    </row>
    <row r="92" spans="1:8" ht="14.25" x14ac:dyDescent="0.2">
      <c r="A92" s="44">
        <v>52</v>
      </c>
      <c r="B92" s="44" t="str">
        <f>Source!E338</f>
        <v>52</v>
      </c>
      <c r="C92" s="49" t="str">
        <f>Source!G338</f>
        <v>Скамья парковая, размеры 2000х1030х800 мм</v>
      </c>
      <c r="D92" s="44" t="s">
        <v>47</v>
      </c>
      <c r="E92" s="50">
        <f>Source!I338</f>
        <v>5</v>
      </c>
      <c r="F92" s="44" t="str">
        <f>Source!U311</f>
        <v/>
      </c>
      <c r="G92" s="44">
        <f>Source!I338</f>
        <v>5</v>
      </c>
      <c r="H92" s="49"/>
    </row>
    <row r="93" spans="1:8" ht="16.5" x14ac:dyDescent="0.25">
      <c r="A93" s="45" t="str">
        <f>CONCATENATE("Раздел: ", Source!G378)</f>
        <v>Раздел: Помещение</v>
      </c>
      <c r="B93" s="45"/>
      <c r="C93" s="45"/>
      <c r="D93" s="45"/>
      <c r="E93" s="45"/>
      <c r="F93" s="45"/>
      <c r="G93" s="45"/>
      <c r="H93" s="45"/>
    </row>
    <row r="94" spans="1:8" ht="14.25" x14ac:dyDescent="0.2">
      <c r="A94" s="44">
        <v>53</v>
      </c>
      <c r="B94" s="44" t="str">
        <f>Source!E382</f>
        <v>53</v>
      </c>
      <c r="C94" s="49" t="str">
        <f>Source!G382</f>
        <v>Помещение 4х4 м</v>
      </c>
      <c r="D94" s="44" t="s">
        <v>495</v>
      </c>
      <c r="E94" s="50">
        <f>Source!I382</f>
        <v>1</v>
      </c>
      <c r="F94" s="44" t="str">
        <f>Source!U378</f>
        <v/>
      </c>
      <c r="G94" s="44">
        <f>Source!I382</f>
        <v>1</v>
      </c>
      <c r="H94" s="49"/>
    </row>
    <row r="95" spans="1:8" ht="16.5" x14ac:dyDescent="0.25">
      <c r="A95" s="45" t="str">
        <f>CONCATENATE("Раздел: ", Source!G422)</f>
        <v>Раздел: Заезд</v>
      </c>
      <c r="B95" s="45"/>
      <c r="C95" s="45"/>
      <c r="D95" s="45"/>
      <c r="E95" s="45"/>
      <c r="F95" s="45"/>
      <c r="G95" s="45"/>
      <c r="H95" s="45"/>
    </row>
    <row r="96" spans="1:8" ht="28.5" x14ac:dyDescent="0.2">
      <c r="A96" s="44">
        <v>54</v>
      </c>
      <c r="B96" s="44" t="str">
        <f>Source!E426</f>
        <v>54</v>
      </c>
      <c r="C96" s="49" t="str">
        <f>Source!G426</f>
        <v>Разработка грунта с погрузкой на автомобили-самосвалы экскаваторами с ковшом вместимостью 0,25 м3, группа грунтов 2</v>
      </c>
      <c r="D96" s="44" t="s">
        <v>503</v>
      </c>
      <c r="E96" s="50">
        <f>Source!I426</f>
        <v>1.14E-2</v>
      </c>
      <c r="F96" s="44" t="str">
        <f>Source!U422</f>
        <v/>
      </c>
      <c r="G96" s="44" t="str">
        <f>"=11,4/"&amp;"1000"</f>
        <v>=11,4/1000</v>
      </c>
      <c r="H96" s="49"/>
    </row>
    <row r="97" spans="1:8" ht="57" x14ac:dyDescent="0.2">
      <c r="A97" s="44">
        <v>55</v>
      </c>
      <c r="B97" s="44" t="str">
        <f>Source!E427</f>
        <v>55</v>
      </c>
      <c r="C97" s="49" t="str">
        <f>Source!G427</f>
        <v>Устройство подстилающих и выравнивающих слоев оснований из песка</v>
      </c>
      <c r="D97" s="44" t="s">
        <v>316</v>
      </c>
      <c r="E97" s="50">
        <f>Source!I427</f>
        <v>4.4999999999999998E-2</v>
      </c>
      <c r="F97" s="44" t="str">
        <f>Source!U422</f>
        <v/>
      </c>
      <c r="G97" s="44" t="str">
        <f>"=4,5/"&amp;"100"</f>
        <v>=4,5/100</v>
      </c>
      <c r="H97" s="49"/>
    </row>
    <row r="98" spans="1:8" ht="14.25" x14ac:dyDescent="0.2">
      <c r="A98" s="44">
        <v>56</v>
      </c>
      <c r="B98" s="44" t="str">
        <f>Source!E429</f>
        <v>56</v>
      </c>
      <c r="C98" s="49" t="str">
        <f>Source!G429</f>
        <v>Песок природный для строительных работ мелкий</v>
      </c>
      <c r="D98" s="44" t="s">
        <v>52</v>
      </c>
      <c r="E98" s="50">
        <f>Source!I429</f>
        <v>4.95</v>
      </c>
      <c r="F98" s="44" t="str">
        <f>Source!U422</f>
        <v/>
      </c>
      <c r="G98" s="44">
        <f>Source!I429</f>
        <v>4.95</v>
      </c>
      <c r="H98" s="49"/>
    </row>
    <row r="99" spans="1:8" ht="42.75" x14ac:dyDescent="0.2">
      <c r="A99" s="44">
        <v>57</v>
      </c>
      <c r="B99" s="44" t="str">
        <f>Source!E430</f>
        <v>57</v>
      </c>
      <c r="C99" s="49" t="str">
        <f>Source!G430</f>
        <v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</v>
      </c>
      <c r="D99" s="44" t="s">
        <v>523</v>
      </c>
      <c r="E99" s="50">
        <f>Source!I430</f>
        <v>0.03</v>
      </c>
      <c r="F99" s="44" t="str">
        <f>Source!U422</f>
        <v/>
      </c>
      <c r="G99" s="44" t="str">
        <f>"=30/"&amp;"1000"</f>
        <v>=30/1000</v>
      </c>
      <c r="H99" s="49"/>
    </row>
    <row r="100" spans="1:8" ht="14.25" x14ac:dyDescent="0.2">
      <c r="A100" s="44">
        <v>58</v>
      </c>
      <c r="B100" s="44" t="str">
        <f>Source!E431</f>
        <v>58</v>
      </c>
      <c r="C100" s="49" t="str">
        <f>Source!G431</f>
        <v>Розлив вяжущих материалов</v>
      </c>
      <c r="D100" s="44" t="s">
        <v>345</v>
      </c>
      <c r="E100" s="50">
        <f>Source!I431</f>
        <v>2.1000000000000001E-2</v>
      </c>
      <c r="F100" s="44" t="str">
        <f>Source!U422</f>
        <v/>
      </c>
      <c r="G100" s="44">
        <f>Source!I431</f>
        <v>2.1000000000000001E-2</v>
      </c>
      <c r="H100" s="49"/>
    </row>
    <row r="101" spans="1:8" ht="42.75" x14ac:dyDescent="0.2">
      <c r="A101" s="44">
        <v>59</v>
      </c>
      <c r="B101" s="44" t="str">
        <f>Source!E432</f>
        <v>59</v>
      </c>
      <c r="C101" s="49" t="str">
        <f>Source!G432</f>
        <v>Устройство верхнего слоя основания или нижнего слоя покрытия из асфальтогранулобетонной смеси типа Э с применением асфальтоукладчика «TITAN-325» на толщину 10 см</v>
      </c>
      <c r="D101" s="44" t="s">
        <v>532</v>
      </c>
      <c r="E101" s="50">
        <f>Source!I432</f>
        <v>0.03</v>
      </c>
      <c r="F101" s="44" t="str">
        <f>Source!U422</f>
        <v/>
      </c>
      <c r="G101" s="44" t="str">
        <f>"=30/"&amp;"1000"</f>
        <v>=30/1000</v>
      </c>
      <c r="H101" s="49"/>
    </row>
    <row r="102" spans="1:8" ht="14.25" x14ac:dyDescent="0.2">
      <c r="A102" s="44">
        <v>60</v>
      </c>
      <c r="B102" s="44" t="str">
        <f>Source!E433</f>
        <v>60</v>
      </c>
      <c r="C102" s="49" t="str">
        <f>Source!G433</f>
        <v>Лом асфальтобетона</v>
      </c>
      <c r="D102" s="44" t="s">
        <v>170</v>
      </c>
      <c r="E102" s="50">
        <f>Source!I433</f>
        <v>6.6</v>
      </c>
      <c r="F102" s="44" t="str">
        <f>Source!U422</f>
        <v/>
      </c>
      <c r="G102" s="44">
        <f>Source!I433</f>
        <v>6.6</v>
      </c>
      <c r="H102" s="49"/>
    </row>
    <row r="103" spans="1:8" ht="14.25" x14ac:dyDescent="0.2">
      <c r="A103" s="44">
        <v>61</v>
      </c>
      <c r="B103" s="44" t="str">
        <f>Source!E436</f>
        <v>61</v>
      </c>
      <c r="C103" s="49" t="str">
        <f>Source!G436</f>
        <v>Устройство сливной призмы и кюветов в выемках, группа грунтов 2</v>
      </c>
      <c r="D103" s="44" t="s">
        <v>295</v>
      </c>
      <c r="E103" s="50">
        <f>Source!I436</f>
        <v>0.126</v>
      </c>
      <c r="F103" s="44" t="str">
        <f>Source!U422</f>
        <v/>
      </c>
      <c r="G103" s="44" t="str">
        <f>"=12,6/"&amp;"100"</f>
        <v>=12,6/100</v>
      </c>
      <c r="H103" s="49"/>
    </row>
    <row r="104" spans="1:8" ht="16.5" x14ac:dyDescent="0.25">
      <c r="A104" s="45" t="str">
        <f>CONCATENATE("Раздел: ", Source!G476)</f>
        <v>Раздел: Туалет</v>
      </c>
      <c r="B104" s="45"/>
      <c r="C104" s="45"/>
      <c r="D104" s="45"/>
      <c r="E104" s="45"/>
      <c r="F104" s="45"/>
      <c r="G104" s="45"/>
      <c r="H104" s="45"/>
    </row>
    <row r="105" spans="1:8" ht="28.5" x14ac:dyDescent="0.2">
      <c r="A105" s="44">
        <v>62</v>
      </c>
      <c r="B105" s="44" t="str">
        <f>Source!E480</f>
        <v>62</v>
      </c>
      <c r="C105" s="49" t="str">
        <f>Source!G480</f>
        <v>Разработка грунта в отвал экскаваторами «драглайн» или «обратная лопата» с ковшом вместимостью 0,25 м3, группа грунтов 2</v>
      </c>
      <c r="D105" s="44" t="s">
        <v>503</v>
      </c>
      <c r="E105" s="50">
        <f>Source!I480</f>
        <v>3.3999999999999998E-3</v>
      </c>
      <c r="F105" s="44" t="str">
        <f>Source!U476</f>
        <v/>
      </c>
      <c r="G105" s="44" t="str">
        <f>"=3,4/"&amp;"1000"</f>
        <v>=3,4/1000</v>
      </c>
      <c r="H105" s="49"/>
    </row>
    <row r="106" spans="1:8" ht="28.5" x14ac:dyDescent="0.2">
      <c r="A106" s="44">
        <v>63</v>
      </c>
      <c r="B106" s="44" t="str">
        <f>Source!E481</f>
        <v>63</v>
      </c>
      <c r="C106" s="49" t="str">
        <f>Source!G481</f>
        <v>Устройство основания под трубопроводы песчаного</v>
      </c>
      <c r="D106" s="44" t="s">
        <v>557</v>
      </c>
      <c r="E106" s="50">
        <f>Source!I481</f>
        <v>3.4000000000000002E-2</v>
      </c>
      <c r="F106" s="44" t="str">
        <f>Source!U476</f>
        <v/>
      </c>
      <c r="G106" s="44" t="str">
        <f>"=0,34/"&amp;"10"</f>
        <v>=0,34/10</v>
      </c>
      <c r="H106" s="49"/>
    </row>
    <row r="107" spans="1:8" ht="14.25" x14ac:dyDescent="0.2">
      <c r="A107" s="44">
        <v>63.1</v>
      </c>
      <c r="B107" s="44" t="str">
        <f>Source!E482</f>
        <v>63,1</v>
      </c>
      <c r="C107" s="49" t="str">
        <f>Source!G482</f>
        <v>Песок природный для строительных работ средний</v>
      </c>
      <c r="D107" s="44" t="s">
        <v>52</v>
      </c>
      <c r="E107" s="50">
        <f>Source!I482</f>
        <v>-0.374</v>
      </c>
      <c r="F107" s="44" t="str">
        <f>Source!U476</f>
        <v/>
      </c>
      <c r="G107" s="44"/>
      <c r="H107" s="49"/>
    </row>
    <row r="108" spans="1:8" ht="14.25" x14ac:dyDescent="0.2">
      <c r="A108" s="44">
        <v>64</v>
      </c>
      <c r="B108" s="44" t="str">
        <f>Source!E483</f>
        <v>64</v>
      </c>
      <c r="C108" s="49" t="str">
        <f>Source!G483</f>
        <v>Песок природный для строительных работ мелкий</v>
      </c>
      <c r="D108" s="44" t="s">
        <v>52</v>
      </c>
      <c r="E108" s="50">
        <f>Source!I483</f>
        <v>0.374</v>
      </c>
      <c r="F108" s="44" t="str">
        <f>Source!U476</f>
        <v/>
      </c>
      <c r="G108" s="44">
        <f>Source!I483</f>
        <v>0.374</v>
      </c>
      <c r="H108" s="49"/>
    </row>
    <row r="109" spans="1:8" ht="71.25" x14ac:dyDescent="0.2">
      <c r="A109" s="44">
        <v>65</v>
      </c>
      <c r="B109" s="44" t="str">
        <f>Source!E484</f>
        <v>65</v>
      </c>
      <c r="C109" s="49" t="str">
        <f>Source!G484</f>
        <v>Устройство круглых сборных железобетонных канализационных колодцев диаметром 1,5 м в сухих грунтах</v>
      </c>
      <c r="D109" s="44" t="s">
        <v>571</v>
      </c>
      <c r="E109" s="50">
        <f>Source!I484</f>
        <v>4.2000000000000003E-2</v>
      </c>
      <c r="F109" s="44" t="str">
        <f>Source!U476</f>
        <v/>
      </c>
      <c r="G109" s="44" t="str">
        <f>"=0,42/"&amp;"10"</f>
        <v>=0,42/10</v>
      </c>
      <c r="H109" s="49"/>
    </row>
    <row r="110" spans="1:8" ht="28.5" x14ac:dyDescent="0.2">
      <c r="A110" s="44">
        <v>66</v>
      </c>
      <c r="B110" s="44" t="str">
        <f>Source!E487</f>
        <v>66</v>
      </c>
      <c r="C110" s="49" t="str">
        <f>Source!G487</f>
        <v>Кольцо стеновое смотровых колодцев КС10.9 /бетон В15 (М200), объем 0,24 м3, расход арматуры 5,66 кг/ (серия 3.900.1-14)</v>
      </c>
      <c r="D110" s="44" t="s">
        <v>47</v>
      </c>
      <c r="E110" s="50">
        <f>Source!I487</f>
        <v>1</v>
      </c>
      <c r="F110" s="44" t="str">
        <f>Source!U476</f>
        <v/>
      </c>
      <c r="G110" s="44">
        <f>Source!I487</f>
        <v>1</v>
      </c>
      <c r="H110" s="49"/>
    </row>
    <row r="111" spans="1:8" ht="28.5" x14ac:dyDescent="0.2">
      <c r="A111" s="44">
        <v>67</v>
      </c>
      <c r="B111" s="44" t="str">
        <f>Source!E488</f>
        <v>67</v>
      </c>
      <c r="C111" s="49" t="str">
        <f>Source!G488</f>
        <v>Плита днища ПН10 /бетон В15 (М200), объем 0,18 м3, расход ар-ры 15,14 кг / (серия 3.900.1-14)</v>
      </c>
      <c r="D111" s="44" t="s">
        <v>47</v>
      </c>
      <c r="E111" s="50">
        <f>Source!I488</f>
        <v>1</v>
      </c>
      <c r="F111" s="44" t="str">
        <f>Source!U476</f>
        <v/>
      </c>
      <c r="G111" s="44">
        <f>Source!I488</f>
        <v>1</v>
      </c>
      <c r="H111" s="49"/>
    </row>
    <row r="112" spans="1:8" ht="42.75" x14ac:dyDescent="0.2">
      <c r="A112" s="44">
        <v>68</v>
      </c>
      <c r="B112" s="44" t="str">
        <f>Source!E489</f>
        <v>68</v>
      </c>
      <c r="C112" s="49" t="str">
        <f>Source!G489</f>
        <v>Установка элементов каркаса из брусьев</v>
      </c>
      <c r="D112" s="44" t="s">
        <v>592</v>
      </c>
      <c r="E112" s="50">
        <f>Source!I489</f>
        <v>0.84</v>
      </c>
      <c r="F112" s="44" t="str">
        <f>Source!U476</f>
        <v/>
      </c>
      <c r="G112" s="44">
        <f>Source!I489</f>
        <v>0.84</v>
      </c>
      <c r="H112" s="49"/>
    </row>
    <row r="113" spans="1:8" ht="57" x14ac:dyDescent="0.2">
      <c r="A113" s="44">
        <v>69</v>
      </c>
      <c r="B113" s="44" t="str">
        <f>Source!E490</f>
        <v>69</v>
      </c>
      <c r="C113" s="49" t="str">
        <f>Source!G490</f>
        <v>Обшивка каркасных стен досками обшивки</v>
      </c>
      <c r="D113" s="44" t="s">
        <v>601</v>
      </c>
      <c r="E113" s="50">
        <f>Source!I490</f>
        <v>0.12</v>
      </c>
      <c r="F113" s="44" t="str">
        <f>Source!U476</f>
        <v/>
      </c>
      <c r="G113" s="44" t="str">
        <f>"=12/"&amp;"100"</f>
        <v>=12/100</v>
      </c>
      <c r="H113" s="49"/>
    </row>
    <row r="114" spans="1:8" ht="28.5" x14ac:dyDescent="0.2">
      <c r="A114" s="44">
        <v>70</v>
      </c>
      <c r="B114" s="44" t="str">
        <f>Source!E491</f>
        <v>70</v>
      </c>
      <c r="C114" s="49" t="str">
        <f>Source!G491</f>
        <v>Устройство кровель из оцинкованной стали без настенных желобов</v>
      </c>
      <c r="D114" s="44" t="s">
        <v>606</v>
      </c>
      <c r="E114" s="50">
        <f>Source!I491</f>
        <v>2.2499999999999999E-2</v>
      </c>
      <c r="F114" s="44" t="str">
        <f>Source!U476</f>
        <v/>
      </c>
      <c r="G114" s="44" t="str">
        <f>"=2,25/"&amp;"100"</f>
        <v>=2,25/100</v>
      </c>
      <c r="H114" s="49"/>
    </row>
    <row r="115" spans="1:8" ht="14.25" x14ac:dyDescent="0.2">
      <c r="A115" s="15">
        <v>71</v>
      </c>
      <c r="B115" s="15" t="str">
        <f>Source!E492</f>
        <v>71</v>
      </c>
      <c r="C115" s="47" t="str">
        <f>Source!G492</f>
        <v>Установка приборов фрамужных</v>
      </c>
      <c r="D115" s="15" t="s">
        <v>615</v>
      </c>
      <c r="E115" s="48">
        <f>Source!I492</f>
        <v>0.02</v>
      </c>
      <c r="F115" s="15" t="str">
        <f>Source!U476</f>
        <v/>
      </c>
      <c r="G115" s="15" t="str">
        <f>"=2/"&amp;"100"</f>
        <v>=2/100</v>
      </c>
      <c r="H115" s="47"/>
    </row>
    <row r="118" spans="1:8" ht="15" x14ac:dyDescent="0.25">
      <c r="C118" s="23" t="s">
        <v>1288</v>
      </c>
      <c r="D118" s="23" t="str">
        <f>IF(Source!X12&lt;&gt;"", Source!X12," ")</f>
        <v xml:space="preserve"> </v>
      </c>
      <c r="E118" s="22"/>
    </row>
    <row r="119" spans="1:8" ht="15" x14ac:dyDescent="0.25">
      <c r="C119" s="10"/>
      <c r="D119" s="22"/>
      <c r="E119" s="22"/>
    </row>
    <row r="120" spans="1:8" ht="15" x14ac:dyDescent="0.25">
      <c r="C120" s="23" t="s">
        <v>1289</v>
      </c>
      <c r="D120" s="23" t="str">
        <f>IF(Source!AB12&lt;&gt;"", Source!AB12," ")</f>
        <v xml:space="preserve"> </v>
      </c>
      <c r="E120" s="22"/>
    </row>
  </sheetData>
  <mergeCells count="14">
    <mergeCell ref="A95:H95"/>
    <mergeCell ref="A104:H104"/>
    <mergeCell ref="A25:H25"/>
    <mergeCell ref="A28:H28"/>
    <mergeCell ref="A42:H42"/>
    <mergeCell ref="A50:H50"/>
    <mergeCell ref="A71:H71"/>
    <mergeCell ref="A93:H93"/>
    <mergeCell ref="D5:E5"/>
    <mergeCell ref="D7:E7"/>
    <mergeCell ref="B12:E12"/>
    <mergeCell ref="B13:E13"/>
    <mergeCell ref="A18:H18"/>
    <mergeCell ref="A19:H19"/>
  </mergeCells>
  <pageMargins left="0.4" right="0.2" top="0.2" bottom="0.4" header="0.2" footer="0.2"/>
  <pageSetup paperSize="9" scale="59" fitToHeight="0" orientation="portrait" r:id="rId1"/>
  <headerFooter>
    <oddHeader>&amp;L&amp;8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32"/>
  <sheetViews>
    <sheetView workbookViewId="0">
      <selection activeCell="A628" sqref="A628:AX628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73233</v>
      </c>
      <c r="M1">
        <v>10</v>
      </c>
      <c r="N1">
        <v>11</v>
      </c>
      <c r="O1">
        <v>9</v>
      </c>
      <c r="P1">
        <v>0</v>
      </c>
      <c r="Q1">
        <v>1</v>
      </c>
    </row>
    <row r="12" spans="1:133" x14ac:dyDescent="0.2">
      <c r="A12" s="1">
        <v>1</v>
      </c>
      <c r="B12" s="1">
        <v>627</v>
      </c>
      <c r="C12" s="1">
        <v>0</v>
      </c>
      <c r="D12" s="1">
        <f>ROW(A563)</f>
        <v>563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11</v>
      </c>
      <c r="CR12" s="1" t="s">
        <v>12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B563</f>
        <v>627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Благоустройство кладбища в д. Нижнее Николаевское</v>
      </c>
      <c r="H18" s="2"/>
      <c r="I18" s="2"/>
      <c r="J18" s="2"/>
      <c r="K18" s="2"/>
      <c r="L18" s="2"/>
      <c r="M18" s="2"/>
      <c r="N18" s="2"/>
      <c r="O18" s="2">
        <f t="shared" ref="O18:AT18" si="1">O563</f>
        <v>2184218.23</v>
      </c>
      <c r="P18" s="2">
        <f t="shared" si="1"/>
        <v>966613.95</v>
      </c>
      <c r="Q18" s="2">
        <f t="shared" si="1"/>
        <v>467699.64</v>
      </c>
      <c r="R18" s="2">
        <f t="shared" si="1"/>
        <v>119672.7</v>
      </c>
      <c r="S18" s="2">
        <f t="shared" si="1"/>
        <v>749904.64</v>
      </c>
      <c r="T18" s="2">
        <f t="shared" si="1"/>
        <v>0</v>
      </c>
      <c r="U18" s="2">
        <f t="shared" si="1"/>
        <v>2469.4044460000005</v>
      </c>
      <c r="V18" s="2">
        <f t="shared" si="1"/>
        <v>285.08076099999994</v>
      </c>
      <c r="W18" s="2">
        <f t="shared" si="1"/>
        <v>0</v>
      </c>
      <c r="X18" s="2">
        <f t="shared" si="1"/>
        <v>940723.5</v>
      </c>
      <c r="Y18" s="2">
        <f t="shared" si="1"/>
        <v>620130.5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3745072.23</v>
      </c>
      <c r="AS18" s="2">
        <f t="shared" si="1"/>
        <v>3722015.81</v>
      </c>
      <c r="AT18" s="2">
        <f t="shared" si="1"/>
        <v>23056.42</v>
      </c>
      <c r="AU18" s="2">
        <f t="shared" ref="AU18:BZ18" si="2">AU563</f>
        <v>0</v>
      </c>
      <c r="AV18" s="2">
        <f t="shared" si="2"/>
        <v>966613.95</v>
      </c>
      <c r="AW18" s="2">
        <f t="shared" si="2"/>
        <v>966613.95</v>
      </c>
      <c r="AX18" s="2">
        <f t="shared" si="2"/>
        <v>0</v>
      </c>
      <c r="AY18" s="2">
        <f t="shared" si="2"/>
        <v>966613.95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467.16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CA563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DG563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EM563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FS563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ROW(A533)</f>
        <v>533</v>
      </c>
      <c r="E20" s="1"/>
      <c r="F20" s="1" t="s">
        <v>3</v>
      </c>
      <c r="G20" s="1" t="s">
        <v>13</v>
      </c>
      <c r="H20" s="1" t="s">
        <v>3</v>
      </c>
      <c r="I20" s="1">
        <v>0</v>
      </c>
      <c r="J20" s="1" t="s">
        <v>3</v>
      </c>
      <c r="K20" s="1">
        <v>0</v>
      </c>
      <c r="L20" s="1" t="s">
        <v>13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B533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/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O533</f>
        <v>2184218.23</v>
      </c>
      <c r="P22" s="2">
        <f t="shared" si="8"/>
        <v>966613.95</v>
      </c>
      <c r="Q22" s="2">
        <f t="shared" si="8"/>
        <v>467699.64</v>
      </c>
      <c r="R22" s="2">
        <f t="shared" si="8"/>
        <v>119672.7</v>
      </c>
      <c r="S22" s="2">
        <f t="shared" si="8"/>
        <v>749904.64</v>
      </c>
      <c r="T22" s="2">
        <f t="shared" si="8"/>
        <v>0</v>
      </c>
      <c r="U22" s="2">
        <f t="shared" si="8"/>
        <v>2469.4044460000005</v>
      </c>
      <c r="V22" s="2">
        <f t="shared" si="8"/>
        <v>285.08076099999994</v>
      </c>
      <c r="W22" s="2">
        <f t="shared" si="8"/>
        <v>0</v>
      </c>
      <c r="X22" s="2">
        <f t="shared" si="8"/>
        <v>940723.5</v>
      </c>
      <c r="Y22" s="2">
        <f t="shared" si="8"/>
        <v>620130.5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3745072.23</v>
      </c>
      <c r="AS22" s="2">
        <f t="shared" si="8"/>
        <v>3722015.81</v>
      </c>
      <c r="AT22" s="2">
        <f t="shared" si="8"/>
        <v>23056.42</v>
      </c>
      <c r="AU22" s="2">
        <f t="shared" ref="AU22:BZ22" si="9">AU533</f>
        <v>0</v>
      </c>
      <c r="AV22" s="2">
        <f t="shared" si="9"/>
        <v>966613.95</v>
      </c>
      <c r="AW22" s="2">
        <f t="shared" si="9"/>
        <v>966613.95</v>
      </c>
      <c r="AX22" s="2">
        <f t="shared" si="9"/>
        <v>0</v>
      </c>
      <c r="AY22" s="2">
        <f t="shared" si="9"/>
        <v>966613.95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467.16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CA533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DG533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EM533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FS533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ROW(A38)</f>
        <v>38</v>
      </c>
      <c r="E24" s="1"/>
      <c r="F24" s="1" t="s">
        <v>14</v>
      </c>
      <c r="G24" s="1" t="s">
        <v>15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B38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Подготовительные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O38</f>
        <v>523245.55</v>
      </c>
      <c r="P26" s="2">
        <f t="shared" si="15"/>
        <v>0</v>
      </c>
      <c r="Q26" s="2">
        <f t="shared" si="15"/>
        <v>235413.74</v>
      </c>
      <c r="R26" s="2">
        <f t="shared" si="15"/>
        <v>58335.87</v>
      </c>
      <c r="S26" s="2">
        <f t="shared" si="15"/>
        <v>287831.81</v>
      </c>
      <c r="T26" s="2">
        <f t="shared" si="15"/>
        <v>0</v>
      </c>
      <c r="U26" s="2">
        <f t="shared" si="15"/>
        <v>953.91946500000006</v>
      </c>
      <c r="V26" s="2">
        <f t="shared" si="15"/>
        <v>140.63884999999999</v>
      </c>
      <c r="W26" s="2">
        <f t="shared" si="15"/>
        <v>0</v>
      </c>
      <c r="X26" s="2">
        <f t="shared" si="15"/>
        <v>370656.72</v>
      </c>
      <c r="Y26" s="2">
        <f t="shared" si="15"/>
        <v>244852.08</v>
      </c>
      <c r="Z26" s="2">
        <f t="shared" si="15"/>
        <v>0</v>
      </c>
      <c r="AA26" s="2">
        <f t="shared" si="15"/>
        <v>0</v>
      </c>
      <c r="AB26" s="2">
        <f t="shared" si="15"/>
        <v>523245.55</v>
      </c>
      <c r="AC26" s="2">
        <f t="shared" si="15"/>
        <v>0</v>
      </c>
      <c r="AD26" s="2">
        <f t="shared" si="15"/>
        <v>235413.74</v>
      </c>
      <c r="AE26" s="2">
        <f t="shared" si="15"/>
        <v>58335.87</v>
      </c>
      <c r="AF26" s="2">
        <f t="shared" si="15"/>
        <v>287831.81</v>
      </c>
      <c r="AG26" s="2">
        <f t="shared" si="15"/>
        <v>0</v>
      </c>
      <c r="AH26" s="2">
        <f t="shared" si="15"/>
        <v>953.91946500000006</v>
      </c>
      <c r="AI26" s="2">
        <f t="shared" si="15"/>
        <v>140.63884999999999</v>
      </c>
      <c r="AJ26" s="2">
        <f t="shared" si="15"/>
        <v>0</v>
      </c>
      <c r="AK26" s="2">
        <f t="shared" si="15"/>
        <v>370656.72</v>
      </c>
      <c r="AL26" s="2">
        <f t="shared" si="15"/>
        <v>244852.08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1138754.3500000001</v>
      </c>
      <c r="AS26" s="2">
        <f t="shared" si="15"/>
        <v>1138754.3500000001</v>
      </c>
      <c r="AT26" s="2">
        <f t="shared" si="15"/>
        <v>0</v>
      </c>
      <c r="AU26" s="2">
        <f t="shared" ref="AU26:BZ26" si="16">AU38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CA38</f>
        <v>1138754.3500000001</v>
      </c>
      <c r="CB26" s="2">
        <f t="shared" si="17"/>
        <v>1138754.3500000001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DG38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EM38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FS38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ROW(SmtRes!A2)</f>
        <v>2</v>
      </c>
      <c r="D28">
        <f>ROW(EtalonRes!A2)</f>
        <v>2</v>
      </c>
      <c r="E28" t="s">
        <v>16</v>
      </c>
      <c r="F28" t="s">
        <v>17</v>
      </c>
      <c r="G28" t="s">
        <v>18</v>
      </c>
      <c r="H28" t="s">
        <v>19</v>
      </c>
      <c r="I28">
        <f>ROUND(20/100,9)</f>
        <v>0.2</v>
      </c>
      <c r="J28">
        <v>0</v>
      </c>
      <c r="K28">
        <f>ROUND(20/100,9)</f>
        <v>0.2</v>
      </c>
      <c r="O28">
        <f t="shared" ref="O28:O36" si="21">ROUND(CP28,2)</f>
        <v>335.67</v>
      </c>
      <c r="P28">
        <f t="shared" ref="P28:P36" si="22">ROUND(CQ28*I28,2)</f>
        <v>0</v>
      </c>
      <c r="Q28">
        <f t="shared" ref="Q28:Q36" si="23">ROUND(CR28*I28,2)</f>
        <v>12.6</v>
      </c>
      <c r="R28">
        <f t="shared" ref="R28:R36" si="24">ROUND(CS28*I28,2)</f>
        <v>0</v>
      </c>
      <c r="S28">
        <f t="shared" ref="S28:S36" si="25">ROUND(CT28*I28,2)</f>
        <v>323.07</v>
      </c>
      <c r="T28">
        <f t="shared" ref="T28:T36" si="26">ROUND(CU28*I28,2)</f>
        <v>0</v>
      </c>
      <c r="U28">
        <f t="shared" ref="U28:U36" si="27">CV28*I28</f>
        <v>1.042</v>
      </c>
      <c r="V28">
        <f t="shared" ref="V28:V36" si="28">CW28*I28</f>
        <v>0</v>
      </c>
      <c r="W28">
        <f t="shared" ref="W28:W36" si="29">ROUND(CX28*I28,2)</f>
        <v>0</v>
      </c>
      <c r="X28">
        <f t="shared" ref="X28:X36" si="30">ROUND(CY28,2)</f>
        <v>287.52999999999997</v>
      </c>
      <c r="Y28">
        <f t="shared" ref="Y28:Y36" si="31">ROUND(CZ28,2)</f>
        <v>132.46</v>
      </c>
      <c r="AA28">
        <v>94798619</v>
      </c>
      <c r="AB28">
        <f t="shared" ref="AB28:AB36" si="32">ROUND((AC28+AD28+AF28),2)</f>
        <v>55.6</v>
      </c>
      <c r="AC28">
        <f>ROUND((ES28),2)</f>
        <v>0</v>
      </c>
      <c r="AD28">
        <f>ROUND((((ET28)-(EU28))+AE28),2)</f>
        <v>9.8000000000000007</v>
      </c>
      <c r="AE28">
        <f>ROUND((EU28),2)</f>
        <v>0</v>
      </c>
      <c r="AF28">
        <f>ROUND((EV28),2)</f>
        <v>45.8</v>
      </c>
      <c r="AG28">
        <f t="shared" ref="AG28:AG36" si="33">ROUND((AP28),2)</f>
        <v>0</v>
      </c>
      <c r="AH28">
        <f>(EW28)</f>
        <v>5.21</v>
      </c>
      <c r="AI28">
        <f>(EX28)</f>
        <v>0</v>
      </c>
      <c r="AJ28">
        <f t="shared" ref="AJ28:AJ36" si="34">(AS28)</f>
        <v>0</v>
      </c>
      <c r="AK28">
        <v>55.6</v>
      </c>
      <c r="AL28">
        <v>0</v>
      </c>
      <c r="AM28">
        <v>9.8000000000000007</v>
      </c>
      <c r="AN28">
        <v>0</v>
      </c>
      <c r="AO28">
        <v>45.8</v>
      </c>
      <c r="AP28">
        <v>0</v>
      </c>
      <c r="AQ28">
        <v>5.21</v>
      </c>
      <c r="AR28">
        <v>0</v>
      </c>
      <c r="AS28">
        <v>0</v>
      </c>
      <c r="AT28">
        <v>89</v>
      </c>
      <c r="AU28">
        <v>41</v>
      </c>
      <c r="AV28">
        <v>1</v>
      </c>
      <c r="AW28">
        <v>1</v>
      </c>
      <c r="AZ28">
        <v>1</v>
      </c>
      <c r="BA28">
        <v>35.270000000000003</v>
      </c>
      <c r="BB28">
        <v>6.43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20</v>
      </c>
      <c r="BM28">
        <v>1007</v>
      </c>
      <c r="BN28">
        <v>0</v>
      </c>
      <c r="BO28" t="s">
        <v>17</v>
      </c>
      <c r="BP28">
        <v>1</v>
      </c>
      <c r="BQ28">
        <v>2</v>
      </c>
      <c r="BR28">
        <v>0</v>
      </c>
      <c r="BS28">
        <v>35.270000000000003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89</v>
      </c>
      <c r="CA28">
        <v>41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36" si="35">(P28+Q28+S28)</f>
        <v>335.67</v>
      </c>
      <c r="CQ28">
        <f t="shared" ref="CQ28:CQ36" si="36">AC28*BC28</f>
        <v>0</v>
      </c>
      <c r="CR28">
        <f>(((ET28)*BB28-(EU28)*BS28)+AE28*BS28)</f>
        <v>63.014000000000003</v>
      </c>
      <c r="CS28">
        <f t="shared" ref="CS28:CS36" si="37">AE28*BS28</f>
        <v>0</v>
      </c>
      <c r="CT28">
        <f t="shared" ref="CT28:CT36" si="38">AF28*BA28</f>
        <v>1615.366</v>
      </c>
      <c r="CU28">
        <f t="shared" ref="CU28:CU36" si="39">AG28</f>
        <v>0</v>
      </c>
      <c r="CV28">
        <f t="shared" ref="CV28:CV36" si="40">AH28</f>
        <v>5.21</v>
      </c>
      <c r="CW28">
        <f t="shared" ref="CW28:CW36" si="41">AI28</f>
        <v>0</v>
      </c>
      <c r="CX28">
        <f t="shared" ref="CX28:CX36" si="42">AJ28</f>
        <v>0</v>
      </c>
      <c r="CY28">
        <f t="shared" ref="CY28:CY36" si="43">(((S28+R28)*AT28)/100)</f>
        <v>287.53230000000002</v>
      </c>
      <c r="CZ28">
        <f t="shared" ref="CZ28:CZ36" si="44">(((S28+R28)*AU28)/100)</f>
        <v>132.45869999999999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19</v>
      </c>
      <c r="DW28" t="s">
        <v>19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92109378</v>
      </c>
      <c r="EF28">
        <v>2</v>
      </c>
      <c r="EG28" t="s">
        <v>21</v>
      </c>
      <c r="EH28">
        <v>1</v>
      </c>
      <c r="EI28" t="s">
        <v>22</v>
      </c>
      <c r="EJ28">
        <v>1</v>
      </c>
      <c r="EK28">
        <v>1007</v>
      </c>
      <c r="EL28" t="s">
        <v>23</v>
      </c>
      <c r="EM28" t="s">
        <v>24</v>
      </c>
      <c r="EO28" t="s">
        <v>3</v>
      </c>
      <c r="EQ28">
        <v>0</v>
      </c>
      <c r="ER28">
        <v>55.6</v>
      </c>
      <c r="ES28">
        <v>0</v>
      </c>
      <c r="ET28">
        <v>9.8000000000000007</v>
      </c>
      <c r="EU28">
        <v>0</v>
      </c>
      <c r="EV28">
        <v>45.8</v>
      </c>
      <c r="EW28">
        <v>5.21</v>
      </c>
      <c r="EX28">
        <v>0</v>
      </c>
      <c r="EY28">
        <v>0</v>
      </c>
      <c r="FQ28">
        <v>0</v>
      </c>
      <c r="FR28">
        <f t="shared" ref="FR28:FR36" si="45">ROUND(IF(BI28=3,GM28,0),2)</f>
        <v>0</v>
      </c>
      <c r="FS28">
        <v>0</v>
      </c>
      <c r="FX28">
        <v>89</v>
      </c>
      <c r="FY28">
        <v>41</v>
      </c>
      <c r="GA28" t="s">
        <v>3</v>
      </c>
      <c r="GD28">
        <v>1</v>
      </c>
      <c r="GF28">
        <v>-101773020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36" si="46">ROUND(IF(AND(BH28=3,BI28=3,FS28&lt;&gt;0),P28,0),2)</f>
        <v>0</v>
      </c>
      <c r="GM28">
        <f t="shared" ref="GM28:GM36" si="47">ROUND(O28+X28+Y28,2)+GX28</f>
        <v>755.66</v>
      </c>
      <c r="GN28">
        <f t="shared" ref="GN28:GN36" si="48">IF(OR(BI28=0,BI28=1),GM28-GX28,0)</f>
        <v>755.66</v>
      </c>
      <c r="GO28">
        <f t="shared" ref="GO28:GO36" si="49">IF(BI28=2,GM28-GX28,0)</f>
        <v>0</v>
      </c>
      <c r="GP28">
        <f t="shared" ref="GP28:GP36" si="50">IF(BI28=4,GM28-GX28,0)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6" si="51">ROUND((GT28),2)</f>
        <v>0</v>
      </c>
      <c r="GW28">
        <v>1</v>
      </c>
      <c r="GX28">
        <f t="shared" ref="GX28:GX36" si="52">ROUND(HC28*I28,2)</f>
        <v>0</v>
      </c>
      <c r="HA28">
        <v>0</v>
      </c>
      <c r="HB28">
        <v>0</v>
      </c>
      <c r="HC28">
        <f t="shared" ref="HC28:HC36" si="53">GV28*GW28</f>
        <v>0</v>
      </c>
      <c r="HE28" t="s">
        <v>3</v>
      </c>
      <c r="HF28" t="s">
        <v>3</v>
      </c>
      <c r="HM28" t="s">
        <v>3</v>
      </c>
      <c r="HN28" t="s">
        <v>25</v>
      </c>
      <c r="HO28" t="s">
        <v>26</v>
      </c>
      <c r="HP28" t="s">
        <v>27</v>
      </c>
      <c r="HQ28" t="s">
        <v>27</v>
      </c>
      <c r="IK28">
        <v>0</v>
      </c>
    </row>
    <row r="29" spans="1:245" x14ac:dyDescent="0.2">
      <c r="A29">
        <v>17</v>
      </c>
      <c r="B29">
        <v>1</v>
      </c>
      <c r="C29">
        <f>ROW(SmtRes!A3)</f>
        <v>3</v>
      </c>
      <c r="D29">
        <f>ROW(EtalonRes!A3)</f>
        <v>3</v>
      </c>
      <c r="E29" t="s">
        <v>28</v>
      </c>
      <c r="F29" t="s">
        <v>29</v>
      </c>
      <c r="G29" t="s">
        <v>30</v>
      </c>
      <c r="H29" t="s">
        <v>31</v>
      </c>
      <c r="I29">
        <f>ROUND(20/100,9)</f>
        <v>0.2</v>
      </c>
      <c r="J29">
        <v>0</v>
      </c>
      <c r="K29">
        <f>ROUND(20/100,9)</f>
        <v>0.2</v>
      </c>
      <c r="O29">
        <f t="shared" si="21"/>
        <v>2108.37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2108.37</v>
      </c>
      <c r="T29">
        <f t="shared" si="26"/>
        <v>0</v>
      </c>
      <c r="U29">
        <f t="shared" si="27"/>
        <v>8.2000000000000011</v>
      </c>
      <c r="V29">
        <f t="shared" si="28"/>
        <v>0</v>
      </c>
      <c r="W29">
        <f t="shared" si="29"/>
        <v>0</v>
      </c>
      <c r="X29">
        <f t="shared" si="30"/>
        <v>1876.45</v>
      </c>
      <c r="Y29">
        <f t="shared" si="31"/>
        <v>864.43</v>
      </c>
      <c r="AA29">
        <v>94798619</v>
      </c>
      <c r="AB29">
        <f t="shared" si="32"/>
        <v>298.89</v>
      </c>
      <c r="AC29">
        <f>ROUND((ES29),2)</f>
        <v>0</v>
      </c>
      <c r="AD29">
        <f>ROUND((((ET29)-(EU29))+AE29),2)</f>
        <v>0</v>
      </c>
      <c r="AE29">
        <f>ROUND((EU29),2)</f>
        <v>0</v>
      </c>
      <c r="AF29">
        <f>ROUND((EV29),2)</f>
        <v>298.89</v>
      </c>
      <c r="AG29">
        <f t="shared" si="33"/>
        <v>0</v>
      </c>
      <c r="AH29">
        <f>(EW29)</f>
        <v>41</v>
      </c>
      <c r="AI29">
        <f>(EX29)</f>
        <v>0</v>
      </c>
      <c r="AJ29">
        <f t="shared" si="34"/>
        <v>0</v>
      </c>
      <c r="AK29">
        <v>298.89</v>
      </c>
      <c r="AL29">
        <v>0</v>
      </c>
      <c r="AM29">
        <v>0</v>
      </c>
      <c r="AN29">
        <v>0</v>
      </c>
      <c r="AO29">
        <v>298.89</v>
      </c>
      <c r="AP29">
        <v>0</v>
      </c>
      <c r="AQ29">
        <v>41</v>
      </c>
      <c r="AR29">
        <v>0</v>
      </c>
      <c r="AS29">
        <v>0</v>
      </c>
      <c r="AT29">
        <v>89</v>
      </c>
      <c r="AU29">
        <v>41</v>
      </c>
      <c r="AV29">
        <v>1</v>
      </c>
      <c r="AW29">
        <v>1</v>
      </c>
      <c r="AZ29">
        <v>1</v>
      </c>
      <c r="BA29">
        <v>35.270000000000003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32</v>
      </c>
      <c r="BM29">
        <v>1007</v>
      </c>
      <c r="BN29">
        <v>0</v>
      </c>
      <c r="BO29" t="s">
        <v>29</v>
      </c>
      <c r="BP29">
        <v>1</v>
      </c>
      <c r="BQ29">
        <v>2</v>
      </c>
      <c r="BR29">
        <v>0</v>
      </c>
      <c r="BS29">
        <v>35.270000000000003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89</v>
      </c>
      <c r="CA29">
        <v>41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5"/>
        <v>2108.37</v>
      </c>
      <c r="CQ29">
        <f t="shared" si="36"/>
        <v>0</v>
      </c>
      <c r="CR29">
        <f>(((ET29)*BB29-(EU29)*BS29)+AE29*BS29)</f>
        <v>0</v>
      </c>
      <c r="CS29">
        <f t="shared" si="37"/>
        <v>0</v>
      </c>
      <c r="CT29">
        <f t="shared" si="38"/>
        <v>10541.8503</v>
      </c>
      <c r="CU29">
        <f t="shared" si="39"/>
        <v>0</v>
      </c>
      <c r="CV29">
        <f t="shared" si="40"/>
        <v>41</v>
      </c>
      <c r="CW29">
        <f t="shared" si="41"/>
        <v>0</v>
      </c>
      <c r="CX29">
        <f t="shared" si="42"/>
        <v>0</v>
      </c>
      <c r="CY29">
        <f t="shared" si="43"/>
        <v>1876.4493</v>
      </c>
      <c r="CZ29">
        <f t="shared" si="44"/>
        <v>864.43169999999998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31</v>
      </c>
      <c r="DW29" t="s">
        <v>31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92109378</v>
      </c>
      <c r="EF29">
        <v>2</v>
      </c>
      <c r="EG29" t="s">
        <v>21</v>
      </c>
      <c r="EH29">
        <v>1</v>
      </c>
      <c r="EI29" t="s">
        <v>22</v>
      </c>
      <c r="EJ29">
        <v>1</v>
      </c>
      <c r="EK29">
        <v>1007</v>
      </c>
      <c r="EL29" t="s">
        <v>23</v>
      </c>
      <c r="EM29" t="s">
        <v>24</v>
      </c>
      <c r="EO29" t="s">
        <v>3</v>
      </c>
      <c r="EQ29">
        <v>0</v>
      </c>
      <c r="ER29">
        <v>298.89</v>
      </c>
      <c r="ES29">
        <v>0</v>
      </c>
      <c r="ET29">
        <v>0</v>
      </c>
      <c r="EU29">
        <v>0</v>
      </c>
      <c r="EV29">
        <v>298.89</v>
      </c>
      <c r="EW29">
        <v>41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89</v>
      </c>
      <c r="FY29">
        <v>41</v>
      </c>
      <c r="GA29" t="s">
        <v>3</v>
      </c>
      <c r="GD29">
        <v>1</v>
      </c>
      <c r="GF29">
        <v>1616075701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4849.25</v>
      </c>
      <c r="GN29">
        <f t="shared" si="48"/>
        <v>4849.25</v>
      </c>
      <c r="GO29">
        <f t="shared" si="49"/>
        <v>0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M29" t="s">
        <v>3</v>
      </c>
      <c r="HN29" t="s">
        <v>25</v>
      </c>
      <c r="HO29" t="s">
        <v>26</v>
      </c>
      <c r="HP29" t="s">
        <v>27</v>
      </c>
      <c r="HQ29" t="s">
        <v>27</v>
      </c>
      <c r="IK29">
        <v>0</v>
      </c>
    </row>
    <row r="30" spans="1:245" x14ac:dyDescent="0.2">
      <c r="A30">
        <v>17</v>
      </c>
      <c r="B30">
        <v>1</v>
      </c>
      <c r="C30">
        <f>ROW(SmtRes!A11)</f>
        <v>11</v>
      </c>
      <c r="D30">
        <f>ROW(EtalonRes!A11)</f>
        <v>11</v>
      </c>
      <c r="E30" t="s">
        <v>33</v>
      </c>
      <c r="F30" t="s">
        <v>34</v>
      </c>
      <c r="G30" t="s">
        <v>35</v>
      </c>
      <c r="H30" t="s">
        <v>36</v>
      </c>
      <c r="I30">
        <f>ROUND(307/100,9)</f>
        <v>3.07</v>
      </c>
      <c r="J30">
        <v>0</v>
      </c>
      <c r="K30">
        <f>ROUND(307/100,9)</f>
        <v>3.07</v>
      </c>
      <c r="O30">
        <f t="shared" si="21"/>
        <v>125329.68</v>
      </c>
      <c r="P30">
        <f t="shared" si="22"/>
        <v>0</v>
      </c>
      <c r="Q30">
        <f t="shared" si="23"/>
        <v>100724.38</v>
      </c>
      <c r="R30">
        <f t="shared" si="24"/>
        <v>21061.33</v>
      </c>
      <c r="S30">
        <f t="shared" si="25"/>
        <v>24605.3</v>
      </c>
      <c r="T30">
        <f t="shared" si="26"/>
        <v>0</v>
      </c>
      <c r="U30">
        <f t="shared" si="27"/>
        <v>87.531840000000003</v>
      </c>
      <c r="V30">
        <f t="shared" si="28"/>
        <v>53.221520000000005</v>
      </c>
      <c r="W30">
        <f t="shared" si="29"/>
        <v>0</v>
      </c>
      <c r="X30">
        <f t="shared" si="30"/>
        <v>42469.97</v>
      </c>
      <c r="Y30">
        <f t="shared" si="31"/>
        <v>28313.31</v>
      </c>
      <c r="AA30">
        <v>94798619</v>
      </c>
      <c r="AB30">
        <f t="shared" si="32"/>
        <v>2993.62</v>
      </c>
      <c r="AC30">
        <f>ROUND(((ES30*0)),2)</f>
        <v>0</v>
      </c>
      <c r="AD30">
        <f>ROUND(((((ET30*0.8))-((EU30*0.8)))+AE30),2)</f>
        <v>2766.38</v>
      </c>
      <c r="AE30">
        <f>ROUND(((EU30*0.8)),2)</f>
        <v>194.51</v>
      </c>
      <c r="AF30">
        <f>ROUND(((EV30*0.8)),2)</f>
        <v>227.24</v>
      </c>
      <c r="AG30">
        <f t="shared" si="33"/>
        <v>0</v>
      </c>
      <c r="AH30">
        <f>((EW30*0.8))</f>
        <v>28.512</v>
      </c>
      <c r="AI30">
        <f>((EX30*0.8))</f>
        <v>17.336000000000002</v>
      </c>
      <c r="AJ30">
        <f t="shared" si="34"/>
        <v>0</v>
      </c>
      <c r="AK30">
        <v>3978.49</v>
      </c>
      <c r="AL30">
        <v>236.46</v>
      </c>
      <c r="AM30">
        <v>3457.98</v>
      </c>
      <c r="AN30">
        <v>243.14</v>
      </c>
      <c r="AO30">
        <v>284.05</v>
      </c>
      <c r="AP30">
        <v>0</v>
      </c>
      <c r="AQ30">
        <v>35.64</v>
      </c>
      <c r="AR30">
        <v>21.67</v>
      </c>
      <c r="AS30">
        <v>0</v>
      </c>
      <c r="AT30">
        <v>93</v>
      </c>
      <c r="AU30">
        <v>62</v>
      </c>
      <c r="AV30">
        <v>1</v>
      </c>
      <c r="AW30">
        <v>1</v>
      </c>
      <c r="AZ30">
        <v>1</v>
      </c>
      <c r="BA30">
        <v>35.270000000000003</v>
      </c>
      <c r="BB30">
        <v>11.86</v>
      </c>
      <c r="BC30">
        <v>10.34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37</v>
      </c>
      <c r="BM30">
        <v>9001</v>
      </c>
      <c r="BN30">
        <v>0</v>
      </c>
      <c r="BO30" t="s">
        <v>34</v>
      </c>
      <c r="BP30">
        <v>1</v>
      </c>
      <c r="BQ30">
        <v>2</v>
      </c>
      <c r="BR30">
        <v>0</v>
      </c>
      <c r="BS30">
        <v>35.270000000000003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93</v>
      </c>
      <c r="CA30">
        <v>62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5"/>
        <v>125329.68000000001</v>
      </c>
      <c r="CQ30">
        <f t="shared" si="36"/>
        <v>0</v>
      </c>
      <c r="CR30">
        <f>((((ET30*0.8))*BB30-((EU30*0.8))*BS30)+AE30*BS30)</f>
        <v>32809.243699999999</v>
      </c>
      <c r="CS30">
        <f t="shared" si="37"/>
        <v>6860.3677000000007</v>
      </c>
      <c r="CT30">
        <f t="shared" si="38"/>
        <v>8014.7548000000006</v>
      </c>
      <c r="CU30">
        <f t="shared" si="39"/>
        <v>0</v>
      </c>
      <c r="CV30">
        <f t="shared" si="40"/>
        <v>28.512</v>
      </c>
      <c r="CW30">
        <f t="shared" si="41"/>
        <v>17.336000000000002</v>
      </c>
      <c r="CX30">
        <f t="shared" si="42"/>
        <v>0</v>
      </c>
      <c r="CY30">
        <f t="shared" si="43"/>
        <v>42469.96590000001</v>
      </c>
      <c r="CZ30">
        <f t="shared" si="44"/>
        <v>28313.310600000004</v>
      </c>
      <c r="DC30" t="s">
        <v>3</v>
      </c>
      <c r="DD30" t="s">
        <v>38</v>
      </c>
      <c r="DE30" t="s">
        <v>39</v>
      </c>
      <c r="DF30" t="s">
        <v>39</v>
      </c>
      <c r="DG30" t="s">
        <v>39</v>
      </c>
      <c r="DH30" t="s">
        <v>3</v>
      </c>
      <c r="DI30" t="s">
        <v>39</v>
      </c>
      <c r="DJ30" t="s">
        <v>39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36</v>
      </c>
      <c r="DW30" t="s">
        <v>36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92109398</v>
      </c>
      <c r="EF30">
        <v>2</v>
      </c>
      <c r="EG30" t="s">
        <v>21</v>
      </c>
      <c r="EH30">
        <v>9</v>
      </c>
      <c r="EI30" t="s">
        <v>40</v>
      </c>
      <c r="EJ30">
        <v>1</v>
      </c>
      <c r="EK30">
        <v>9001</v>
      </c>
      <c r="EL30" t="s">
        <v>40</v>
      </c>
      <c r="EM30" t="s">
        <v>41</v>
      </c>
      <c r="EO30" t="s">
        <v>3</v>
      </c>
      <c r="EQ30">
        <v>0</v>
      </c>
      <c r="ER30">
        <v>3978.49</v>
      </c>
      <c r="ES30">
        <v>236.46</v>
      </c>
      <c r="ET30">
        <v>3457.98</v>
      </c>
      <c r="EU30">
        <v>243.14</v>
      </c>
      <c r="EV30">
        <v>284.05</v>
      </c>
      <c r="EW30">
        <v>35.64</v>
      </c>
      <c r="EX30">
        <v>21.67</v>
      </c>
      <c r="EY30">
        <v>0</v>
      </c>
      <c r="FQ30">
        <v>0</v>
      </c>
      <c r="FR30">
        <f t="shared" si="45"/>
        <v>0</v>
      </c>
      <c r="FS30">
        <v>0</v>
      </c>
      <c r="FX30">
        <v>93</v>
      </c>
      <c r="FY30">
        <v>62</v>
      </c>
      <c r="GA30" t="s">
        <v>3</v>
      </c>
      <c r="GD30">
        <v>1</v>
      </c>
      <c r="GF30">
        <v>183057739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196112.96</v>
      </c>
      <c r="GN30">
        <f t="shared" si="48"/>
        <v>196112.96</v>
      </c>
      <c r="GO30">
        <f t="shared" si="49"/>
        <v>0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HM30" t="s">
        <v>3</v>
      </c>
      <c r="HN30" t="s">
        <v>42</v>
      </c>
      <c r="HO30" t="s">
        <v>43</v>
      </c>
      <c r="HP30" t="s">
        <v>40</v>
      </c>
      <c r="HQ30" t="s">
        <v>40</v>
      </c>
      <c r="IK30">
        <v>0</v>
      </c>
    </row>
    <row r="31" spans="1:245" x14ac:dyDescent="0.2">
      <c r="A31">
        <v>18</v>
      </c>
      <c r="B31">
        <v>1</v>
      </c>
      <c r="C31">
        <v>10</v>
      </c>
      <c r="E31" t="s">
        <v>44</v>
      </c>
      <c r="F31" t="s">
        <v>45</v>
      </c>
      <c r="G31" t="s">
        <v>46</v>
      </c>
      <c r="H31" t="s">
        <v>47</v>
      </c>
      <c r="I31">
        <f>I30*J31</f>
        <v>0</v>
      </c>
      <c r="J31">
        <v>0</v>
      </c>
      <c r="K31">
        <v>100</v>
      </c>
      <c r="O31">
        <f t="shared" si="21"/>
        <v>0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0</v>
      </c>
      <c r="X31">
        <f t="shared" si="30"/>
        <v>0</v>
      </c>
      <c r="Y31">
        <f t="shared" si="31"/>
        <v>0</v>
      </c>
      <c r="AA31">
        <v>94798619</v>
      </c>
      <c r="AB31">
        <f t="shared" si="32"/>
        <v>0</v>
      </c>
      <c r="AC31">
        <f>ROUND((ES31),2)</f>
        <v>0</v>
      </c>
      <c r="AD31">
        <f>ROUND((((ET31)-(EU31))+AE31),2)</f>
        <v>0</v>
      </c>
      <c r="AE31">
        <f>ROUND((EU31),2)</f>
        <v>0</v>
      </c>
      <c r="AF31">
        <f>ROUND((EV31),2)</f>
        <v>0</v>
      </c>
      <c r="AG31">
        <f t="shared" si="33"/>
        <v>0</v>
      </c>
      <c r="AH31">
        <f>(EW31)</f>
        <v>0</v>
      </c>
      <c r="AI31">
        <f>(EX31)</f>
        <v>0</v>
      </c>
      <c r="AJ31">
        <f t="shared" si="34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93</v>
      </c>
      <c r="AU31">
        <v>62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48</v>
      </c>
      <c r="BM31">
        <v>9001</v>
      </c>
      <c r="BN31">
        <v>0</v>
      </c>
      <c r="BO31" t="s">
        <v>3</v>
      </c>
      <c r="BP31">
        <v>0</v>
      </c>
      <c r="BQ31">
        <v>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93</v>
      </c>
      <c r="CA31">
        <v>62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5"/>
        <v>0</v>
      </c>
      <c r="CQ31">
        <f t="shared" si="36"/>
        <v>0</v>
      </c>
      <c r="CR31">
        <f>(((ET31)*BB31-(EU31)*BS31)+AE31*BS31)</f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47</v>
      </c>
      <c r="DW31" t="s">
        <v>47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92109398</v>
      </c>
      <c r="EF31">
        <v>2</v>
      </c>
      <c r="EG31" t="s">
        <v>21</v>
      </c>
      <c r="EH31">
        <v>9</v>
      </c>
      <c r="EI31" t="s">
        <v>40</v>
      </c>
      <c r="EJ31">
        <v>1</v>
      </c>
      <c r="EK31">
        <v>9001</v>
      </c>
      <c r="EL31" t="s">
        <v>40</v>
      </c>
      <c r="EM31" t="s">
        <v>41</v>
      </c>
      <c r="EO31" t="s">
        <v>3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93</v>
      </c>
      <c r="FY31">
        <v>62</v>
      </c>
      <c r="GA31" t="s">
        <v>3</v>
      </c>
      <c r="GD31">
        <v>1</v>
      </c>
      <c r="GF31">
        <v>-138700279</v>
      </c>
      <c r="GG31">
        <v>2</v>
      </c>
      <c r="GH31">
        <v>1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0</v>
      </c>
      <c r="GN31">
        <f t="shared" si="48"/>
        <v>0</v>
      </c>
      <c r="GO31">
        <f t="shared" si="49"/>
        <v>0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M31" t="s">
        <v>38</v>
      </c>
      <c r="HN31" t="s">
        <v>42</v>
      </c>
      <c r="HO31" t="s">
        <v>43</v>
      </c>
      <c r="HP31" t="s">
        <v>40</v>
      </c>
      <c r="HQ31" t="s">
        <v>40</v>
      </c>
      <c r="IK31">
        <v>0</v>
      </c>
    </row>
    <row r="32" spans="1:245" x14ac:dyDescent="0.2">
      <c r="A32">
        <v>18</v>
      </c>
      <c r="B32">
        <v>1</v>
      </c>
      <c r="C32">
        <v>11</v>
      </c>
      <c r="E32" t="s">
        <v>49</v>
      </c>
      <c r="F32" t="s">
        <v>50</v>
      </c>
      <c r="G32" t="s">
        <v>51</v>
      </c>
      <c r="H32" t="s">
        <v>52</v>
      </c>
      <c r="I32">
        <f>I30*J32</f>
        <v>0</v>
      </c>
      <c r="J32">
        <v>0</v>
      </c>
      <c r="K32">
        <v>6.34</v>
      </c>
      <c r="O32">
        <f t="shared" si="21"/>
        <v>0</v>
      </c>
      <c r="P32">
        <f t="shared" si="22"/>
        <v>0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</v>
      </c>
      <c r="X32">
        <f t="shared" si="30"/>
        <v>0</v>
      </c>
      <c r="Y32">
        <f t="shared" si="31"/>
        <v>0</v>
      </c>
      <c r="AA32">
        <v>94798619</v>
      </c>
      <c r="AB32">
        <f t="shared" si="32"/>
        <v>0</v>
      </c>
      <c r="AC32">
        <f>ROUND((ES32),2)</f>
        <v>0</v>
      </c>
      <c r="AD32">
        <f>ROUND((((ET32)-(EU32))+AE32),2)</f>
        <v>0</v>
      </c>
      <c r="AE32">
        <f>ROUND((EU32),2)</f>
        <v>0</v>
      </c>
      <c r="AF32">
        <f>ROUND((EV32),2)</f>
        <v>0</v>
      </c>
      <c r="AG32">
        <f t="shared" si="33"/>
        <v>0</v>
      </c>
      <c r="AH32">
        <f>(EW32)</f>
        <v>0</v>
      </c>
      <c r="AI32">
        <f>(EX32)</f>
        <v>0</v>
      </c>
      <c r="AJ32">
        <f t="shared" si="34"/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93</v>
      </c>
      <c r="AU32">
        <v>62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1</v>
      </c>
      <c r="BJ32" t="s">
        <v>53</v>
      </c>
      <c r="BM32">
        <v>9001</v>
      </c>
      <c r="BN32">
        <v>0</v>
      </c>
      <c r="BO32" t="s">
        <v>3</v>
      </c>
      <c r="BP32">
        <v>0</v>
      </c>
      <c r="BQ32">
        <v>2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93</v>
      </c>
      <c r="CA32">
        <v>62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5"/>
        <v>0</v>
      </c>
      <c r="CQ32">
        <f t="shared" si="36"/>
        <v>0</v>
      </c>
      <c r="CR32">
        <f>(((ET32)*BB32-(EU32)*BS32)+AE32*BS32)</f>
        <v>0</v>
      </c>
      <c r="CS32">
        <f t="shared" si="37"/>
        <v>0</v>
      </c>
      <c r="CT32">
        <f t="shared" si="38"/>
        <v>0</v>
      </c>
      <c r="CU32">
        <f t="shared" si="39"/>
        <v>0</v>
      </c>
      <c r="CV32">
        <f t="shared" si="40"/>
        <v>0</v>
      </c>
      <c r="CW32">
        <f t="shared" si="41"/>
        <v>0</v>
      </c>
      <c r="CX32">
        <f t="shared" si="42"/>
        <v>0</v>
      </c>
      <c r="CY32">
        <f t="shared" si="43"/>
        <v>0</v>
      </c>
      <c r="CZ32">
        <f t="shared" si="44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1007</v>
      </c>
      <c r="DV32" t="s">
        <v>52</v>
      </c>
      <c r="DW32" t="s">
        <v>52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92109398</v>
      </c>
      <c r="EF32">
        <v>2</v>
      </c>
      <c r="EG32" t="s">
        <v>21</v>
      </c>
      <c r="EH32">
        <v>9</v>
      </c>
      <c r="EI32" t="s">
        <v>40</v>
      </c>
      <c r="EJ32">
        <v>1</v>
      </c>
      <c r="EK32">
        <v>9001</v>
      </c>
      <c r="EL32" t="s">
        <v>40</v>
      </c>
      <c r="EM32" t="s">
        <v>41</v>
      </c>
      <c r="EO32" t="s">
        <v>3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FQ32">
        <v>0</v>
      </c>
      <c r="FR32">
        <f t="shared" si="45"/>
        <v>0</v>
      </c>
      <c r="FS32">
        <v>0</v>
      </c>
      <c r="FX32">
        <v>93</v>
      </c>
      <c r="FY32">
        <v>62</v>
      </c>
      <c r="GA32" t="s">
        <v>3</v>
      </c>
      <c r="GD32">
        <v>1</v>
      </c>
      <c r="GF32">
        <v>-255290429</v>
      </c>
      <c r="GG32">
        <v>2</v>
      </c>
      <c r="GH32">
        <v>1</v>
      </c>
      <c r="GI32">
        <v>-2</v>
      </c>
      <c r="GJ32">
        <v>0</v>
      </c>
      <c r="GK32">
        <v>0</v>
      </c>
      <c r="GL32">
        <f t="shared" si="46"/>
        <v>0</v>
      </c>
      <c r="GM32">
        <f t="shared" si="47"/>
        <v>0</v>
      </c>
      <c r="GN32">
        <f t="shared" si="48"/>
        <v>0</v>
      </c>
      <c r="GO32">
        <f t="shared" si="49"/>
        <v>0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HM32" t="s">
        <v>38</v>
      </c>
      <c r="HN32" t="s">
        <v>42</v>
      </c>
      <c r="HO32" t="s">
        <v>43</v>
      </c>
      <c r="HP32" t="s">
        <v>40</v>
      </c>
      <c r="HQ32" t="s">
        <v>40</v>
      </c>
      <c r="IK32">
        <v>0</v>
      </c>
    </row>
    <row r="33" spans="1:245" x14ac:dyDescent="0.2">
      <c r="A33">
        <v>17</v>
      </c>
      <c r="B33">
        <v>1</v>
      </c>
      <c r="C33">
        <f>ROW(SmtRes!A26)</f>
        <v>26</v>
      </c>
      <c r="D33">
        <f>ROW(EtalonRes!A26)</f>
        <v>26</v>
      </c>
      <c r="E33" t="s">
        <v>54</v>
      </c>
      <c r="F33" t="s">
        <v>55</v>
      </c>
      <c r="G33" t="s">
        <v>56</v>
      </c>
      <c r="H33" t="s">
        <v>57</v>
      </c>
      <c r="I33">
        <f>ROUND(614.5/100,9)</f>
        <v>6.1449999999999996</v>
      </c>
      <c r="J33">
        <v>0</v>
      </c>
      <c r="K33">
        <f>ROUND(614.5/100,9)</f>
        <v>6.1449999999999996</v>
      </c>
      <c r="O33">
        <f t="shared" si="21"/>
        <v>385335.15</v>
      </c>
      <c r="P33">
        <f t="shared" si="22"/>
        <v>0</v>
      </c>
      <c r="Q33">
        <f t="shared" si="23"/>
        <v>134140.26999999999</v>
      </c>
      <c r="R33">
        <f t="shared" si="24"/>
        <v>37117.89</v>
      </c>
      <c r="S33">
        <f t="shared" si="25"/>
        <v>251194.88</v>
      </c>
      <c r="T33">
        <f t="shared" si="26"/>
        <v>0</v>
      </c>
      <c r="U33">
        <f t="shared" si="27"/>
        <v>820.51112499999999</v>
      </c>
      <c r="V33">
        <f t="shared" si="28"/>
        <v>86.976329999999976</v>
      </c>
      <c r="W33">
        <f t="shared" si="29"/>
        <v>0</v>
      </c>
      <c r="X33">
        <f t="shared" si="30"/>
        <v>317144.05</v>
      </c>
      <c r="Y33">
        <f t="shared" si="31"/>
        <v>210468.32</v>
      </c>
      <c r="AA33">
        <v>94798619</v>
      </c>
      <c r="AB33">
        <f t="shared" si="32"/>
        <v>3042.45</v>
      </c>
      <c r="AC33">
        <f>ROUND(((ES33*0)),2)</f>
        <v>0</v>
      </c>
      <c r="AD33">
        <f>ROUND(((((ET33*0.7))-((EU33*0.7)))+AE33),2)</f>
        <v>1883.45</v>
      </c>
      <c r="AE33">
        <f>ROUND(((EU33*0.7)),2)</f>
        <v>171.26</v>
      </c>
      <c r="AF33">
        <f>ROUND(((EV33*0.7)),2)</f>
        <v>1159</v>
      </c>
      <c r="AG33">
        <f t="shared" si="33"/>
        <v>0</v>
      </c>
      <c r="AH33">
        <f>((EW33*0.7))</f>
        <v>133.52500000000001</v>
      </c>
      <c r="AI33">
        <f>((EX33*0.7))</f>
        <v>14.153999999999998</v>
      </c>
      <c r="AJ33">
        <f t="shared" si="34"/>
        <v>0</v>
      </c>
      <c r="AK33">
        <v>7938.37</v>
      </c>
      <c r="AL33">
        <v>3592.01</v>
      </c>
      <c r="AM33">
        <v>2690.65</v>
      </c>
      <c r="AN33">
        <v>244.66</v>
      </c>
      <c r="AO33">
        <v>1655.71</v>
      </c>
      <c r="AP33">
        <v>0</v>
      </c>
      <c r="AQ33">
        <v>190.75</v>
      </c>
      <c r="AR33">
        <v>20.22</v>
      </c>
      <c r="AS33">
        <v>0</v>
      </c>
      <c r="AT33">
        <v>110</v>
      </c>
      <c r="AU33">
        <v>73</v>
      </c>
      <c r="AV33">
        <v>1</v>
      </c>
      <c r="AW33">
        <v>1</v>
      </c>
      <c r="AZ33">
        <v>1</v>
      </c>
      <c r="BA33">
        <v>35.270000000000003</v>
      </c>
      <c r="BB33">
        <v>11.59</v>
      </c>
      <c r="BC33">
        <v>10.7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58</v>
      </c>
      <c r="BM33">
        <v>7001</v>
      </c>
      <c r="BN33">
        <v>0</v>
      </c>
      <c r="BO33" t="s">
        <v>55</v>
      </c>
      <c r="BP33">
        <v>1</v>
      </c>
      <c r="BQ33">
        <v>2</v>
      </c>
      <c r="BR33">
        <v>0</v>
      </c>
      <c r="BS33">
        <v>35.270000000000003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110</v>
      </c>
      <c r="CA33">
        <v>73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5"/>
        <v>385335.15</v>
      </c>
      <c r="CQ33">
        <f t="shared" si="36"/>
        <v>0</v>
      </c>
      <c r="CR33">
        <f>((((ET33*0.7))*BB33-((EU33*0.7))*BS33)+AE33*BS33)</f>
        <v>21829.172910000001</v>
      </c>
      <c r="CS33">
        <f t="shared" si="37"/>
        <v>6040.3402000000006</v>
      </c>
      <c r="CT33">
        <f t="shared" si="38"/>
        <v>40877.93</v>
      </c>
      <c r="CU33">
        <f t="shared" si="39"/>
        <v>0</v>
      </c>
      <c r="CV33">
        <f t="shared" si="40"/>
        <v>133.52500000000001</v>
      </c>
      <c r="CW33">
        <f t="shared" si="41"/>
        <v>14.153999999999998</v>
      </c>
      <c r="CX33">
        <f t="shared" si="42"/>
        <v>0</v>
      </c>
      <c r="CY33">
        <f t="shared" si="43"/>
        <v>317144.04700000002</v>
      </c>
      <c r="CZ33">
        <f t="shared" si="44"/>
        <v>210468.32210000002</v>
      </c>
      <c r="DC33" t="s">
        <v>3</v>
      </c>
      <c r="DD33" t="s">
        <v>38</v>
      </c>
      <c r="DE33" t="s">
        <v>59</v>
      </c>
      <c r="DF33" t="s">
        <v>59</v>
      </c>
      <c r="DG33" t="s">
        <v>59</v>
      </c>
      <c r="DH33" t="s">
        <v>3</v>
      </c>
      <c r="DI33" t="s">
        <v>59</v>
      </c>
      <c r="DJ33" t="s">
        <v>59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57</v>
      </c>
      <c r="DW33" t="s">
        <v>57</v>
      </c>
      <c r="DX33">
        <v>100</v>
      </c>
      <c r="DZ33" t="s">
        <v>3</v>
      </c>
      <c r="EA33" t="s">
        <v>3</v>
      </c>
      <c r="EB33" t="s">
        <v>3</v>
      </c>
      <c r="EC33" t="s">
        <v>3</v>
      </c>
      <c r="EE33">
        <v>92109389</v>
      </c>
      <c r="EF33">
        <v>2</v>
      </c>
      <c r="EG33" t="s">
        <v>21</v>
      </c>
      <c r="EH33">
        <v>7</v>
      </c>
      <c r="EI33" t="s">
        <v>60</v>
      </c>
      <c r="EJ33">
        <v>1</v>
      </c>
      <c r="EK33">
        <v>7001</v>
      </c>
      <c r="EL33" t="s">
        <v>60</v>
      </c>
      <c r="EM33" t="s">
        <v>61</v>
      </c>
      <c r="EO33" t="s">
        <v>3</v>
      </c>
      <c r="EQ33">
        <v>0</v>
      </c>
      <c r="ER33">
        <v>7938.37</v>
      </c>
      <c r="ES33">
        <v>3592.01</v>
      </c>
      <c r="ET33">
        <v>2690.65</v>
      </c>
      <c r="EU33">
        <v>244.66</v>
      </c>
      <c r="EV33">
        <v>1655.71</v>
      </c>
      <c r="EW33">
        <v>190.75</v>
      </c>
      <c r="EX33">
        <v>20.22</v>
      </c>
      <c r="EY33">
        <v>0</v>
      </c>
      <c r="FQ33">
        <v>0</v>
      </c>
      <c r="FR33">
        <f t="shared" si="45"/>
        <v>0</v>
      </c>
      <c r="FS33">
        <v>0</v>
      </c>
      <c r="FX33">
        <v>110</v>
      </c>
      <c r="FY33">
        <v>73</v>
      </c>
      <c r="GA33" t="s">
        <v>3</v>
      </c>
      <c r="GD33">
        <v>1</v>
      </c>
      <c r="GF33">
        <v>1373470286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912947.52</v>
      </c>
      <c r="GN33">
        <f t="shared" si="48"/>
        <v>912947.52</v>
      </c>
      <c r="GO33">
        <f t="shared" si="49"/>
        <v>0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M33" t="s">
        <v>3</v>
      </c>
      <c r="HN33" t="s">
        <v>62</v>
      </c>
      <c r="HO33" t="s">
        <v>63</v>
      </c>
      <c r="HP33" t="s">
        <v>60</v>
      </c>
      <c r="HQ33" t="s">
        <v>60</v>
      </c>
      <c r="IK33">
        <v>0</v>
      </c>
    </row>
    <row r="34" spans="1:245" x14ac:dyDescent="0.2">
      <c r="A34">
        <v>18</v>
      </c>
      <c r="B34">
        <v>1</v>
      </c>
      <c r="C34">
        <v>25</v>
      </c>
      <c r="E34" t="s">
        <v>64</v>
      </c>
      <c r="F34" t="s">
        <v>65</v>
      </c>
      <c r="G34" t="s">
        <v>66</v>
      </c>
      <c r="H34" t="s">
        <v>47</v>
      </c>
      <c r="I34">
        <f>I33*J34</f>
        <v>0</v>
      </c>
      <c r="J34">
        <v>0</v>
      </c>
      <c r="K34">
        <v>29.5</v>
      </c>
      <c r="O34">
        <f t="shared" si="21"/>
        <v>0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94798619</v>
      </c>
      <c r="AB34">
        <f t="shared" si="32"/>
        <v>0</v>
      </c>
      <c r="AC34">
        <f>ROUND((ES34),2)</f>
        <v>0</v>
      </c>
      <c r="AD34">
        <f>ROUND((((ET34)-(EU34))+AE34),2)</f>
        <v>0</v>
      </c>
      <c r="AE34">
        <f t="shared" ref="AE34:AF36" si="54">ROUND((EU34),2)</f>
        <v>0</v>
      </c>
      <c r="AF34">
        <f t="shared" si="54"/>
        <v>0</v>
      </c>
      <c r="AG34">
        <f t="shared" si="33"/>
        <v>0</v>
      </c>
      <c r="AH34">
        <f t="shared" ref="AH34:AI36" si="55">(EW34)</f>
        <v>0</v>
      </c>
      <c r="AI34">
        <f t="shared" si="55"/>
        <v>0</v>
      </c>
      <c r="AJ34">
        <f t="shared" si="34"/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110</v>
      </c>
      <c r="AU34">
        <v>73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67</v>
      </c>
      <c r="BM34">
        <v>7001</v>
      </c>
      <c r="BN34">
        <v>0</v>
      </c>
      <c r="BO34" t="s">
        <v>3</v>
      </c>
      <c r="BP34">
        <v>0</v>
      </c>
      <c r="BQ34">
        <v>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110</v>
      </c>
      <c r="CA34">
        <v>73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5"/>
        <v>0</v>
      </c>
      <c r="CQ34">
        <f t="shared" si="36"/>
        <v>0</v>
      </c>
      <c r="CR34">
        <f>(((ET34)*BB34-(EU34)*BS34)+AE34*BS34)</f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1010</v>
      </c>
      <c r="DV34" t="s">
        <v>47</v>
      </c>
      <c r="DW34" t="s">
        <v>47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92109389</v>
      </c>
      <c r="EF34">
        <v>2</v>
      </c>
      <c r="EG34" t="s">
        <v>21</v>
      </c>
      <c r="EH34">
        <v>7</v>
      </c>
      <c r="EI34" t="s">
        <v>60</v>
      </c>
      <c r="EJ34">
        <v>1</v>
      </c>
      <c r="EK34">
        <v>7001</v>
      </c>
      <c r="EL34" t="s">
        <v>60</v>
      </c>
      <c r="EM34" t="s">
        <v>61</v>
      </c>
      <c r="EO34" t="s">
        <v>3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45"/>
        <v>0</v>
      </c>
      <c r="FS34">
        <v>0</v>
      </c>
      <c r="FX34">
        <v>110</v>
      </c>
      <c r="FY34">
        <v>73</v>
      </c>
      <c r="GA34" t="s">
        <v>3</v>
      </c>
      <c r="GD34">
        <v>1</v>
      </c>
      <c r="GF34">
        <v>821785432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0</v>
      </c>
      <c r="GN34">
        <f t="shared" si="48"/>
        <v>0</v>
      </c>
      <c r="GO34">
        <f t="shared" si="49"/>
        <v>0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HM34" t="s">
        <v>38</v>
      </c>
      <c r="HN34" t="s">
        <v>62</v>
      </c>
      <c r="HO34" t="s">
        <v>63</v>
      </c>
      <c r="HP34" t="s">
        <v>60</v>
      </c>
      <c r="HQ34" t="s">
        <v>60</v>
      </c>
      <c r="IK34">
        <v>0</v>
      </c>
    </row>
    <row r="35" spans="1:245" x14ac:dyDescent="0.2">
      <c r="A35">
        <v>17</v>
      </c>
      <c r="B35">
        <v>1</v>
      </c>
      <c r="C35">
        <f>ROW(SmtRes!A33)</f>
        <v>33</v>
      </c>
      <c r="D35">
        <f>ROW(EtalonRes!A33)</f>
        <v>33</v>
      </c>
      <c r="E35" t="s">
        <v>68</v>
      </c>
      <c r="F35" t="s">
        <v>69</v>
      </c>
      <c r="G35" t="s">
        <v>70</v>
      </c>
      <c r="H35" t="s">
        <v>71</v>
      </c>
      <c r="I35">
        <f>ROUND(31.5/10,9)</f>
        <v>3.15</v>
      </c>
      <c r="J35">
        <v>0</v>
      </c>
      <c r="K35">
        <f>ROUND(31.5/10,9)</f>
        <v>3.15</v>
      </c>
      <c r="O35">
        <f t="shared" si="21"/>
        <v>10136.68</v>
      </c>
      <c r="P35">
        <f t="shared" si="22"/>
        <v>0</v>
      </c>
      <c r="Q35">
        <f t="shared" si="23"/>
        <v>536.49</v>
      </c>
      <c r="R35">
        <f t="shared" si="24"/>
        <v>156.65</v>
      </c>
      <c r="S35">
        <f t="shared" si="25"/>
        <v>9600.19</v>
      </c>
      <c r="T35">
        <f t="shared" si="26"/>
        <v>0</v>
      </c>
      <c r="U35">
        <f t="shared" si="27"/>
        <v>36.634500000000003</v>
      </c>
      <c r="V35">
        <f t="shared" si="28"/>
        <v>0.441</v>
      </c>
      <c r="W35">
        <f t="shared" si="29"/>
        <v>0</v>
      </c>
      <c r="X35">
        <f t="shared" si="30"/>
        <v>8878.7199999999993</v>
      </c>
      <c r="Y35">
        <f t="shared" si="31"/>
        <v>5073.5600000000004</v>
      </c>
      <c r="AA35">
        <v>94798619</v>
      </c>
      <c r="AB35">
        <f t="shared" si="32"/>
        <v>98.97</v>
      </c>
      <c r="AC35">
        <f>ROUND((ES35),2)</f>
        <v>0</v>
      </c>
      <c r="AD35">
        <f>ROUND((((ET35)-(EU35))+AE35),2)</f>
        <v>12.56</v>
      </c>
      <c r="AE35">
        <f t="shared" si="54"/>
        <v>1.41</v>
      </c>
      <c r="AF35">
        <f t="shared" si="54"/>
        <v>86.41</v>
      </c>
      <c r="AG35">
        <f t="shared" si="33"/>
        <v>0</v>
      </c>
      <c r="AH35">
        <f t="shared" si="55"/>
        <v>11.63</v>
      </c>
      <c r="AI35">
        <f t="shared" si="55"/>
        <v>0.14000000000000001</v>
      </c>
      <c r="AJ35">
        <f t="shared" si="34"/>
        <v>0</v>
      </c>
      <c r="AK35">
        <v>98.97</v>
      </c>
      <c r="AL35">
        <v>0</v>
      </c>
      <c r="AM35">
        <v>12.56</v>
      </c>
      <c r="AN35">
        <v>1.41</v>
      </c>
      <c r="AO35">
        <v>86.41</v>
      </c>
      <c r="AP35">
        <v>0</v>
      </c>
      <c r="AQ35">
        <v>11.63</v>
      </c>
      <c r="AR35">
        <v>0.14000000000000001</v>
      </c>
      <c r="AS35">
        <v>0</v>
      </c>
      <c r="AT35">
        <v>91</v>
      </c>
      <c r="AU35">
        <v>52</v>
      </c>
      <c r="AV35">
        <v>1</v>
      </c>
      <c r="AW35">
        <v>1</v>
      </c>
      <c r="AZ35">
        <v>1</v>
      </c>
      <c r="BA35">
        <v>35.270000000000003</v>
      </c>
      <c r="BB35">
        <v>13.56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72</v>
      </c>
      <c r="BM35">
        <v>46003</v>
      </c>
      <c r="BN35">
        <v>0</v>
      </c>
      <c r="BO35" t="s">
        <v>69</v>
      </c>
      <c r="BP35">
        <v>1</v>
      </c>
      <c r="BQ35">
        <v>2</v>
      </c>
      <c r="BR35">
        <v>0</v>
      </c>
      <c r="BS35">
        <v>35.270000000000003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91</v>
      </c>
      <c r="CA35">
        <v>52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5"/>
        <v>10136.68</v>
      </c>
      <c r="CQ35">
        <f t="shared" si="36"/>
        <v>0</v>
      </c>
      <c r="CR35">
        <f>(((ET35)*BB35-(EU35)*BS35)+AE35*BS35)</f>
        <v>170.31360000000001</v>
      </c>
      <c r="CS35">
        <f t="shared" si="37"/>
        <v>49.730699999999999</v>
      </c>
      <c r="CT35">
        <f t="shared" si="38"/>
        <v>3047.6807000000003</v>
      </c>
      <c r="CU35">
        <f t="shared" si="39"/>
        <v>0</v>
      </c>
      <c r="CV35">
        <f t="shared" si="40"/>
        <v>11.63</v>
      </c>
      <c r="CW35">
        <f t="shared" si="41"/>
        <v>0.14000000000000001</v>
      </c>
      <c r="CX35">
        <f t="shared" si="42"/>
        <v>0</v>
      </c>
      <c r="CY35">
        <f t="shared" si="43"/>
        <v>8878.724400000001</v>
      </c>
      <c r="CZ35">
        <f t="shared" si="44"/>
        <v>5073.5568000000003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71</v>
      </c>
      <c r="DW35" t="s">
        <v>71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92109640</v>
      </c>
      <c r="EF35">
        <v>2</v>
      </c>
      <c r="EG35" t="s">
        <v>21</v>
      </c>
      <c r="EH35">
        <v>40</v>
      </c>
      <c r="EI35" t="s">
        <v>73</v>
      </c>
      <c r="EJ35">
        <v>1</v>
      </c>
      <c r="EK35">
        <v>46003</v>
      </c>
      <c r="EL35" t="s">
        <v>74</v>
      </c>
      <c r="EM35" t="s">
        <v>75</v>
      </c>
      <c r="EO35" t="s">
        <v>3</v>
      </c>
      <c r="EQ35">
        <v>0</v>
      </c>
      <c r="ER35">
        <v>98.97</v>
      </c>
      <c r="ES35">
        <v>0</v>
      </c>
      <c r="ET35">
        <v>12.56</v>
      </c>
      <c r="EU35">
        <v>1.41</v>
      </c>
      <c r="EV35">
        <v>86.41</v>
      </c>
      <c r="EW35">
        <v>11.63</v>
      </c>
      <c r="EX35">
        <v>0.14000000000000001</v>
      </c>
      <c r="EY35">
        <v>0</v>
      </c>
      <c r="FQ35">
        <v>0</v>
      </c>
      <c r="FR35">
        <f t="shared" si="45"/>
        <v>0</v>
      </c>
      <c r="FS35">
        <v>0</v>
      </c>
      <c r="FX35">
        <v>91</v>
      </c>
      <c r="FY35">
        <v>52</v>
      </c>
      <c r="GA35" t="s">
        <v>3</v>
      </c>
      <c r="GD35">
        <v>1</v>
      </c>
      <c r="GF35">
        <v>1601726194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24088.959999999999</v>
      </c>
      <c r="GN35">
        <f t="shared" si="48"/>
        <v>24088.959999999999</v>
      </c>
      <c r="GO35">
        <f t="shared" si="49"/>
        <v>0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HM35" t="s">
        <v>3</v>
      </c>
      <c r="HN35" t="s">
        <v>76</v>
      </c>
      <c r="HO35" t="s">
        <v>77</v>
      </c>
      <c r="HP35" t="s">
        <v>74</v>
      </c>
      <c r="HQ35" t="s">
        <v>74</v>
      </c>
      <c r="IK35">
        <v>0</v>
      </c>
    </row>
    <row r="36" spans="1:245" x14ac:dyDescent="0.2">
      <c r="A36">
        <v>17</v>
      </c>
      <c r="B36">
        <v>1</v>
      </c>
      <c r="C36">
        <f>ROW(SmtRes!A39)</f>
        <v>39</v>
      </c>
      <c r="D36">
        <f>ROW(EtalonRes!A39)</f>
        <v>39</v>
      </c>
      <c r="E36" t="s">
        <v>3</v>
      </c>
      <c r="F36" t="s">
        <v>78</v>
      </c>
      <c r="G36" t="s">
        <v>79</v>
      </c>
      <c r="H36" t="s">
        <v>80</v>
      </c>
      <c r="I36">
        <f>ROUND(31.5/100,9)</f>
        <v>0.315</v>
      </c>
      <c r="J36">
        <v>0</v>
      </c>
      <c r="K36">
        <f>ROUND(31.5/100,9)</f>
        <v>0.315</v>
      </c>
      <c r="O36">
        <f t="shared" si="21"/>
        <v>6271.83</v>
      </c>
      <c r="P36">
        <f t="shared" si="22"/>
        <v>0</v>
      </c>
      <c r="Q36">
        <f t="shared" si="23"/>
        <v>4898.5200000000004</v>
      </c>
      <c r="R36">
        <f t="shared" si="24"/>
        <v>1441.86</v>
      </c>
      <c r="S36">
        <f t="shared" si="25"/>
        <v>1373.31</v>
      </c>
      <c r="T36">
        <f t="shared" si="26"/>
        <v>0</v>
      </c>
      <c r="U36">
        <f t="shared" si="27"/>
        <v>4.88565</v>
      </c>
      <c r="V36">
        <f t="shared" si="28"/>
        <v>3.39255</v>
      </c>
      <c r="W36">
        <f t="shared" si="29"/>
        <v>0</v>
      </c>
      <c r="X36">
        <f t="shared" si="30"/>
        <v>2561.8000000000002</v>
      </c>
      <c r="Y36">
        <f t="shared" si="31"/>
        <v>1463.89</v>
      </c>
      <c r="AA36">
        <v>-1</v>
      </c>
      <c r="AB36">
        <f t="shared" si="32"/>
        <v>1508.37</v>
      </c>
      <c r="AC36">
        <f>ROUND((ES36),2)</f>
        <v>0</v>
      </c>
      <c r="AD36">
        <f>ROUND((((ET36)-(EU36))+AE36),2)</f>
        <v>1384.76</v>
      </c>
      <c r="AE36">
        <f t="shared" si="54"/>
        <v>129.78</v>
      </c>
      <c r="AF36">
        <f t="shared" si="54"/>
        <v>123.61</v>
      </c>
      <c r="AG36">
        <f t="shared" si="33"/>
        <v>0</v>
      </c>
      <c r="AH36">
        <f t="shared" si="55"/>
        <v>15.51</v>
      </c>
      <c r="AI36">
        <f t="shared" si="55"/>
        <v>10.77</v>
      </c>
      <c r="AJ36">
        <f t="shared" si="34"/>
        <v>0</v>
      </c>
      <c r="AK36">
        <v>1508.37</v>
      </c>
      <c r="AL36">
        <v>0</v>
      </c>
      <c r="AM36">
        <v>1384.76</v>
      </c>
      <c r="AN36">
        <v>129.78</v>
      </c>
      <c r="AO36">
        <v>123.61</v>
      </c>
      <c r="AP36">
        <v>0</v>
      </c>
      <c r="AQ36">
        <v>15.51</v>
      </c>
      <c r="AR36">
        <v>10.77</v>
      </c>
      <c r="AS36">
        <v>0</v>
      </c>
      <c r="AT36">
        <v>91</v>
      </c>
      <c r="AU36">
        <v>52</v>
      </c>
      <c r="AV36">
        <v>1</v>
      </c>
      <c r="AW36">
        <v>1</v>
      </c>
      <c r="AZ36">
        <v>1</v>
      </c>
      <c r="BA36">
        <v>35.270000000000003</v>
      </c>
      <c r="BB36">
        <v>11.23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81</v>
      </c>
      <c r="BM36">
        <v>46003</v>
      </c>
      <c r="BN36">
        <v>0</v>
      </c>
      <c r="BO36" t="s">
        <v>78</v>
      </c>
      <c r="BP36">
        <v>1</v>
      </c>
      <c r="BQ36">
        <v>2</v>
      </c>
      <c r="BR36">
        <v>0</v>
      </c>
      <c r="BS36">
        <v>35.270000000000003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91</v>
      </c>
      <c r="CA36">
        <v>52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5"/>
        <v>6271.83</v>
      </c>
      <c r="CQ36">
        <f t="shared" si="36"/>
        <v>0</v>
      </c>
      <c r="CR36">
        <f>(((ET36)*BB36-(EU36)*BS36)+AE36*BS36)</f>
        <v>15550.854800000001</v>
      </c>
      <c r="CS36">
        <f t="shared" si="37"/>
        <v>4577.3406000000004</v>
      </c>
      <c r="CT36">
        <f t="shared" si="38"/>
        <v>4359.7247000000007</v>
      </c>
      <c r="CU36">
        <f t="shared" si="39"/>
        <v>0</v>
      </c>
      <c r="CV36">
        <f t="shared" si="40"/>
        <v>15.51</v>
      </c>
      <c r="CW36">
        <f t="shared" si="41"/>
        <v>10.77</v>
      </c>
      <c r="CX36">
        <f t="shared" si="42"/>
        <v>0</v>
      </c>
      <c r="CY36">
        <f t="shared" si="43"/>
        <v>2561.8047000000001</v>
      </c>
      <c r="CZ36">
        <f t="shared" si="44"/>
        <v>1463.8884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80</v>
      </c>
      <c r="DW36" t="s">
        <v>80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92109640</v>
      </c>
      <c r="EF36">
        <v>2</v>
      </c>
      <c r="EG36" t="s">
        <v>21</v>
      </c>
      <c r="EH36">
        <v>40</v>
      </c>
      <c r="EI36" t="s">
        <v>73</v>
      </c>
      <c r="EJ36">
        <v>1</v>
      </c>
      <c r="EK36">
        <v>46003</v>
      </c>
      <c r="EL36" t="s">
        <v>74</v>
      </c>
      <c r="EM36" t="s">
        <v>75</v>
      </c>
      <c r="EO36" t="s">
        <v>3</v>
      </c>
      <c r="EQ36">
        <v>1024</v>
      </c>
      <c r="ER36">
        <v>1508.37</v>
      </c>
      <c r="ES36">
        <v>0</v>
      </c>
      <c r="ET36">
        <v>1384.76</v>
      </c>
      <c r="EU36">
        <v>129.78</v>
      </c>
      <c r="EV36">
        <v>123.61</v>
      </c>
      <c r="EW36">
        <v>15.51</v>
      </c>
      <c r="EX36">
        <v>10.77</v>
      </c>
      <c r="EY36">
        <v>0</v>
      </c>
      <c r="FQ36">
        <v>0</v>
      </c>
      <c r="FR36">
        <f t="shared" si="45"/>
        <v>0</v>
      </c>
      <c r="FS36">
        <v>0</v>
      </c>
      <c r="FX36">
        <v>91</v>
      </c>
      <c r="FY36">
        <v>52</v>
      </c>
      <c r="GA36" t="s">
        <v>3</v>
      </c>
      <c r="GD36">
        <v>1</v>
      </c>
      <c r="GF36">
        <v>322810386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10297.52</v>
      </c>
      <c r="GN36">
        <f t="shared" si="48"/>
        <v>10297.52</v>
      </c>
      <c r="GO36">
        <f t="shared" si="49"/>
        <v>0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HM36" t="s">
        <v>3</v>
      </c>
      <c r="HN36" t="s">
        <v>76</v>
      </c>
      <c r="HO36" t="s">
        <v>77</v>
      </c>
      <c r="HP36" t="s">
        <v>74</v>
      </c>
      <c r="HQ36" t="s">
        <v>74</v>
      </c>
      <c r="IK36">
        <v>0</v>
      </c>
    </row>
    <row r="38" spans="1:245" x14ac:dyDescent="0.2">
      <c r="A38" s="2">
        <v>51</v>
      </c>
      <c r="B38" s="2">
        <f>B24</f>
        <v>1</v>
      </c>
      <c r="C38" s="2">
        <f>A24</f>
        <v>4</v>
      </c>
      <c r="D38" s="2">
        <f>ROW(A24)</f>
        <v>24</v>
      </c>
      <c r="E38" s="2"/>
      <c r="F38" s="2" t="str">
        <f>IF(F24&lt;&gt;"",F24,"")</f>
        <v>Новый раздел</v>
      </c>
      <c r="G38" s="2" t="str">
        <f>IF(G24&lt;&gt;"",G24,"")</f>
        <v>Подготовительные работы</v>
      </c>
      <c r="H38" s="2">
        <v>0</v>
      </c>
      <c r="I38" s="2"/>
      <c r="J38" s="2"/>
      <c r="K38" s="2"/>
      <c r="L38" s="2"/>
      <c r="M38" s="2"/>
      <c r="N38" s="2"/>
      <c r="O38" s="2">
        <f t="shared" ref="O38:T38" si="56">ROUND(AB38,2)</f>
        <v>523245.55</v>
      </c>
      <c r="P38" s="2">
        <f t="shared" si="56"/>
        <v>0</v>
      </c>
      <c r="Q38" s="2">
        <f t="shared" si="56"/>
        <v>235413.74</v>
      </c>
      <c r="R38" s="2">
        <f t="shared" si="56"/>
        <v>58335.87</v>
      </c>
      <c r="S38" s="2">
        <f t="shared" si="56"/>
        <v>287831.81</v>
      </c>
      <c r="T38" s="2">
        <f t="shared" si="56"/>
        <v>0</v>
      </c>
      <c r="U38" s="2">
        <f>AH38</f>
        <v>953.91946500000006</v>
      </c>
      <c r="V38" s="2">
        <f>AI38</f>
        <v>140.63884999999999</v>
      </c>
      <c r="W38" s="2">
        <f>ROUND(AJ38,2)</f>
        <v>0</v>
      </c>
      <c r="X38" s="2">
        <f>ROUND(AK38,2)</f>
        <v>370656.72</v>
      </c>
      <c r="Y38" s="2">
        <f>ROUND(AL38,2)</f>
        <v>244852.08</v>
      </c>
      <c r="Z38" s="2"/>
      <c r="AA38" s="2"/>
      <c r="AB38" s="2">
        <f>ROUND(SUMIF(AA28:AA36,"=94798619",O28:O36),2)</f>
        <v>523245.55</v>
      </c>
      <c r="AC38" s="2">
        <f>ROUND(SUMIF(AA28:AA36,"=94798619",P28:P36),2)</f>
        <v>0</v>
      </c>
      <c r="AD38" s="2">
        <f>ROUND(SUMIF(AA28:AA36,"=94798619",Q28:Q36),2)</f>
        <v>235413.74</v>
      </c>
      <c r="AE38" s="2">
        <f>ROUND(SUMIF(AA28:AA36,"=94798619",R28:R36),2)</f>
        <v>58335.87</v>
      </c>
      <c r="AF38" s="2">
        <f>ROUND(SUMIF(AA28:AA36,"=94798619",S28:S36),2)</f>
        <v>287831.81</v>
      </c>
      <c r="AG38" s="2">
        <f>ROUND(SUMIF(AA28:AA36,"=94798619",T28:T36),2)</f>
        <v>0</v>
      </c>
      <c r="AH38" s="2">
        <f>SUMIF(AA28:AA36,"=94798619",U28:U36)</f>
        <v>953.91946500000006</v>
      </c>
      <c r="AI38" s="2">
        <f>SUMIF(AA28:AA36,"=94798619",V28:V36)</f>
        <v>140.63884999999999</v>
      </c>
      <c r="AJ38" s="2">
        <f>ROUND(SUMIF(AA28:AA36,"=94798619",W28:W36),2)</f>
        <v>0</v>
      </c>
      <c r="AK38" s="2">
        <f>ROUND(SUMIF(AA28:AA36,"=94798619",X28:X36),2)</f>
        <v>370656.72</v>
      </c>
      <c r="AL38" s="2">
        <f>ROUND(SUMIF(AA28:AA36,"=94798619",Y28:Y36),2)</f>
        <v>244852.08</v>
      </c>
      <c r="AM38" s="2"/>
      <c r="AN38" s="2"/>
      <c r="AO38" s="2">
        <f t="shared" ref="AO38:BD38" si="57">ROUND(BX38,2)</f>
        <v>0</v>
      </c>
      <c r="AP38" s="2">
        <f t="shared" si="57"/>
        <v>0</v>
      </c>
      <c r="AQ38" s="2">
        <f t="shared" si="57"/>
        <v>0</v>
      </c>
      <c r="AR38" s="2">
        <f t="shared" si="57"/>
        <v>1138754.3500000001</v>
      </c>
      <c r="AS38" s="2">
        <f t="shared" si="57"/>
        <v>1138754.3500000001</v>
      </c>
      <c r="AT38" s="2">
        <f t="shared" si="57"/>
        <v>0</v>
      </c>
      <c r="AU38" s="2">
        <f t="shared" si="57"/>
        <v>0</v>
      </c>
      <c r="AV38" s="2">
        <f t="shared" si="57"/>
        <v>0</v>
      </c>
      <c r="AW38" s="2">
        <f t="shared" si="57"/>
        <v>0</v>
      </c>
      <c r="AX38" s="2">
        <f t="shared" si="57"/>
        <v>0</v>
      </c>
      <c r="AY38" s="2">
        <f t="shared" si="57"/>
        <v>0</v>
      </c>
      <c r="AZ38" s="2">
        <f t="shared" si="57"/>
        <v>0</v>
      </c>
      <c r="BA38" s="2">
        <f t="shared" si="57"/>
        <v>0</v>
      </c>
      <c r="BB38" s="2">
        <f t="shared" si="57"/>
        <v>0</v>
      </c>
      <c r="BC38" s="2">
        <f t="shared" si="57"/>
        <v>0</v>
      </c>
      <c r="BD38" s="2">
        <f t="shared" si="57"/>
        <v>0</v>
      </c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>
        <f>ROUND(SUMIF(AA28:AA36,"=94798619",FQ28:FQ36),2)</f>
        <v>0</v>
      </c>
      <c r="BY38" s="2">
        <f>ROUND(SUMIF(AA28:AA36,"=94798619",FR28:FR36),2)</f>
        <v>0</v>
      </c>
      <c r="BZ38" s="2">
        <f>ROUND(SUMIF(AA28:AA36,"=94798619",GL28:GL36),2)</f>
        <v>0</v>
      </c>
      <c r="CA38" s="2">
        <f>ROUND(SUMIF(AA28:AA36,"=94798619",GM28:GM36),2)</f>
        <v>1138754.3500000001</v>
      </c>
      <c r="CB38" s="2">
        <f>ROUND(SUMIF(AA28:AA36,"=94798619",GN28:GN36),2)</f>
        <v>1138754.3500000001</v>
      </c>
      <c r="CC38" s="2">
        <f>ROUND(SUMIF(AA28:AA36,"=94798619",GO28:GO36),2)</f>
        <v>0</v>
      </c>
      <c r="CD38" s="2">
        <f>ROUND(SUMIF(AA28:AA36,"=94798619",GP28:GP36),2)</f>
        <v>0</v>
      </c>
      <c r="CE38" s="2">
        <f>AC38-BX38</f>
        <v>0</v>
      </c>
      <c r="CF38" s="2">
        <f>AC38-BY38</f>
        <v>0</v>
      </c>
      <c r="CG38" s="2">
        <f>BX38-BZ38</f>
        <v>0</v>
      </c>
      <c r="CH38" s="2">
        <f>AC38-BX38-BY38+BZ38</f>
        <v>0</v>
      </c>
      <c r="CI38" s="2">
        <f>BY38-BZ38</f>
        <v>0</v>
      </c>
      <c r="CJ38" s="2">
        <f>ROUND(SUMIF(AA28:AA36,"=94798619",GX28:GX36),2)</f>
        <v>0</v>
      </c>
      <c r="CK38" s="2">
        <f>ROUND(SUMIF(AA28:AA36,"=94798619",GY28:GY36),2)</f>
        <v>0</v>
      </c>
      <c r="CL38" s="2">
        <f>ROUND(SUMIF(AA28:AA36,"=94798619",GZ28:GZ36),2)</f>
        <v>0</v>
      </c>
      <c r="CM38" s="2">
        <f>ROUND(SUMIF(AA28:AA36,"=94798619",HD28:HD36),2)</f>
        <v>0</v>
      </c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>
        <v>0</v>
      </c>
    </row>
    <row r="40" spans="1:245" x14ac:dyDescent="0.2">
      <c r="A40" s="4">
        <v>50</v>
      </c>
      <c r="B40" s="4">
        <v>0</v>
      </c>
      <c r="C40" s="4">
        <v>0</v>
      </c>
      <c r="D40" s="4">
        <v>1</v>
      </c>
      <c r="E40" s="4">
        <v>201</v>
      </c>
      <c r="F40" s="4">
        <f>ROUND(Source!O38,O40)</f>
        <v>523245.55</v>
      </c>
      <c r="G40" s="4" t="s">
        <v>82</v>
      </c>
      <c r="H40" s="4" t="s">
        <v>83</v>
      </c>
      <c r="I40" s="4"/>
      <c r="J40" s="4"/>
      <c r="K40" s="4">
        <v>201</v>
      </c>
      <c r="L40" s="4">
        <v>1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>
        <v>523245.55</v>
      </c>
      <c r="X40" s="4">
        <v>1</v>
      </c>
      <c r="Y40" s="4">
        <v>523245.55</v>
      </c>
      <c r="Z40" s="4"/>
      <c r="AA40" s="4"/>
      <c r="AB40" s="4"/>
    </row>
    <row r="41" spans="1:245" x14ac:dyDescent="0.2">
      <c r="A41" s="4">
        <v>50</v>
      </c>
      <c r="B41" s="4">
        <v>0</v>
      </c>
      <c r="C41" s="4">
        <v>0</v>
      </c>
      <c r="D41" s="4">
        <v>1</v>
      </c>
      <c r="E41" s="4">
        <v>202</v>
      </c>
      <c r="F41" s="4">
        <f>ROUND(Source!P38,O41)</f>
        <v>0</v>
      </c>
      <c r="G41" s="4" t="s">
        <v>84</v>
      </c>
      <c r="H41" s="4" t="s">
        <v>85</v>
      </c>
      <c r="I41" s="4"/>
      <c r="J41" s="4"/>
      <c r="K41" s="4">
        <v>202</v>
      </c>
      <c r="L41" s="4">
        <v>2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>
        <v>0</v>
      </c>
      <c r="X41" s="4">
        <v>1</v>
      </c>
      <c r="Y41" s="4">
        <v>0</v>
      </c>
      <c r="Z41" s="4"/>
      <c r="AA41" s="4"/>
      <c r="AB41" s="4"/>
    </row>
    <row r="42" spans="1:245" x14ac:dyDescent="0.2">
      <c r="A42" s="4">
        <v>50</v>
      </c>
      <c r="B42" s="4">
        <v>0</v>
      </c>
      <c r="C42" s="4">
        <v>0</v>
      </c>
      <c r="D42" s="4">
        <v>1</v>
      </c>
      <c r="E42" s="4">
        <v>222</v>
      </c>
      <c r="F42" s="4">
        <f>ROUND(Source!AO38,O42)</f>
        <v>0</v>
      </c>
      <c r="G42" s="4" t="s">
        <v>86</v>
      </c>
      <c r="H42" s="4" t="s">
        <v>87</v>
      </c>
      <c r="I42" s="4"/>
      <c r="J42" s="4"/>
      <c r="K42" s="4">
        <v>222</v>
      </c>
      <c r="L42" s="4">
        <v>3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>
        <v>0</v>
      </c>
      <c r="X42" s="4">
        <v>1</v>
      </c>
      <c r="Y42" s="4">
        <v>0</v>
      </c>
      <c r="Z42" s="4"/>
      <c r="AA42" s="4"/>
      <c r="AB42" s="4"/>
    </row>
    <row r="43" spans="1:245" x14ac:dyDescent="0.2">
      <c r="A43" s="4">
        <v>50</v>
      </c>
      <c r="B43" s="4">
        <v>0</v>
      </c>
      <c r="C43" s="4">
        <v>0</v>
      </c>
      <c r="D43" s="4">
        <v>1</v>
      </c>
      <c r="E43" s="4">
        <v>225</v>
      </c>
      <c r="F43" s="4">
        <f>ROUND(Source!AV38,O43)</f>
        <v>0</v>
      </c>
      <c r="G43" s="4" t="s">
        <v>88</v>
      </c>
      <c r="H43" s="4" t="s">
        <v>89</v>
      </c>
      <c r="I43" s="4"/>
      <c r="J43" s="4"/>
      <c r="K43" s="4">
        <v>225</v>
      </c>
      <c r="L43" s="4">
        <v>4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>
        <v>0</v>
      </c>
      <c r="X43" s="4">
        <v>1</v>
      </c>
      <c r="Y43" s="4">
        <v>0</v>
      </c>
      <c r="Z43" s="4"/>
      <c r="AA43" s="4"/>
      <c r="AB43" s="4"/>
    </row>
    <row r="44" spans="1:245" x14ac:dyDescent="0.2">
      <c r="A44" s="4">
        <v>50</v>
      </c>
      <c r="B44" s="4">
        <v>0</v>
      </c>
      <c r="C44" s="4">
        <v>0</v>
      </c>
      <c r="D44" s="4">
        <v>1</v>
      </c>
      <c r="E44" s="4">
        <v>226</v>
      </c>
      <c r="F44" s="4">
        <f>ROUND(Source!AW38,O44)</f>
        <v>0</v>
      </c>
      <c r="G44" s="4" t="s">
        <v>90</v>
      </c>
      <c r="H44" s="4" t="s">
        <v>91</v>
      </c>
      <c r="I44" s="4"/>
      <c r="J44" s="4"/>
      <c r="K44" s="4">
        <v>226</v>
      </c>
      <c r="L44" s="4">
        <v>5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>
        <v>0</v>
      </c>
      <c r="X44" s="4">
        <v>1</v>
      </c>
      <c r="Y44" s="4">
        <v>0</v>
      </c>
      <c r="Z44" s="4"/>
      <c r="AA44" s="4"/>
      <c r="AB44" s="4"/>
    </row>
    <row r="45" spans="1:245" x14ac:dyDescent="0.2">
      <c r="A45" s="4">
        <v>50</v>
      </c>
      <c r="B45" s="4">
        <v>0</v>
      </c>
      <c r="C45" s="4">
        <v>0</v>
      </c>
      <c r="D45" s="4">
        <v>1</v>
      </c>
      <c r="E45" s="4">
        <v>227</v>
      </c>
      <c r="F45" s="4">
        <f>ROUND(Source!AX38,O45)</f>
        <v>0</v>
      </c>
      <c r="G45" s="4" t="s">
        <v>92</v>
      </c>
      <c r="H45" s="4" t="s">
        <v>93</v>
      </c>
      <c r="I45" s="4"/>
      <c r="J45" s="4"/>
      <c r="K45" s="4">
        <v>227</v>
      </c>
      <c r="L45" s="4">
        <v>6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>
        <v>0</v>
      </c>
      <c r="X45" s="4">
        <v>1</v>
      </c>
      <c r="Y45" s="4">
        <v>0</v>
      </c>
      <c r="Z45" s="4"/>
      <c r="AA45" s="4"/>
      <c r="AB45" s="4"/>
    </row>
    <row r="46" spans="1:245" x14ac:dyDescent="0.2">
      <c r="A46" s="4">
        <v>50</v>
      </c>
      <c r="B46" s="4">
        <v>0</v>
      </c>
      <c r="C46" s="4">
        <v>0</v>
      </c>
      <c r="D46" s="4">
        <v>1</v>
      </c>
      <c r="E46" s="4">
        <v>228</v>
      </c>
      <c r="F46" s="4">
        <f>ROUND(Source!AY38,O46)</f>
        <v>0</v>
      </c>
      <c r="G46" s="4" t="s">
        <v>94</v>
      </c>
      <c r="H46" s="4" t="s">
        <v>95</v>
      </c>
      <c r="I46" s="4"/>
      <c r="J46" s="4"/>
      <c r="K46" s="4">
        <v>228</v>
      </c>
      <c r="L46" s="4">
        <v>7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>
        <v>0</v>
      </c>
      <c r="X46" s="4">
        <v>1</v>
      </c>
      <c r="Y46" s="4">
        <v>0</v>
      </c>
      <c r="Z46" s="4"/>
      <c r="AA46" s="4"/>
      <c r="AB46" s="4"/>
    </row>
    <row r="47" spans="1:245" x14ac:dyDescent="0.2">
      <c r="A47" s="4">
        <v>50</v>
      </c>
      <c r="B47" s="4">
        <v>0</v>
      </c>
      <c r="C47" s="4">
        <v>0</v>
      </c>
      <c r="D47" s="4">
        <v>1</v>
      </c>
      <c r="E47" s="4">
        <v>216</v>
      </c>
      <c r="F47" s="4">
        <f>ROUND(Source!AP38,O47)</f>
        <v>0</v>
      </c>
      <c r="G47" s="4" t="s">
        <v>96</v>
      </c>
      <c r="H47" s="4" t="s">
        <v>97</v>
      </c>
      <c r="I47" s="4"/>
      <c r="J47" s="4"/>
      <c r="K47" s="4">
        <v>216</v>
      </c>
      <c r="L47" s="4">
        <v>8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>
        <v>0</v>
      </c>
      <c r="X47" s="4">
        <v>1</v>
      </c>
      <c r="Y47" s="4">
        <v>0</v>
      </c>
      <c r="Z47" s="4"/>
      <c r="AA47" s="4"/>
      <c r="AB47" s="4"/>
    </row>
    <row r="48" spans="1:245" x14ac:dyDescent="0.2">
      <c r="A48" s="4">
        <v>50</v>
      </c>
      <c r="B48" s="4">
        <v>0</v>
      </c>
      <c r="C48" s="4">
        <v>0</v>
      </c>
      <c r="D48" s="4">
        <v>1</v>
      </c>
      <c r="E48" s="4">
        <v>223</v>
      </c>
      <c r="F48" s="4">
        <f>ROUND(Source!AQ38,O48)</f>
        <v>0</v>
      </c>
      <c r="G48" s="4" t="s">
        <v>98</v>
      </c>
      <c r="H48" s="4" t="s">
        <v>99</v>
      </c>
      <c r="I48" s="4"/>
      <c r="J48" s="4"/>
      <c r="K48" s="4">
        <v>223</v>
      </c>
      <c r="L48" s="4">
        <v>9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>
        <v>0</v>
      </c>
      <c r="X48" s="4">
        <v>1</v>
      </c>
      <c r="Y48" s="4">
        <v>0</v>
      </c>
      <c r="Z48" s="4"/>
      <c r="AA48" s="4"/>
      <c r="AB48" s="4"/>
    </row>
    <row r="49" spans="1:28" x14ac:dyDescent="0.2">
      <c r="A49" s="4">
        <v>50</v>
      </c>
      <c r="B49" s="4">
        <v>0</v>
      </c>
      <c r="C49" s="4">
        <v>0</v>
      </c>
      <c r="D49" s="4">
        <v>1</v>
      </c>
      <c r="E49" s="4">
        <v>229</v>
      </c>
      <c r="F49" s="4">
        <f>ROUND(Source!AZ38,O49)</f>
        <v>0</v>
      </c>
      <c r="G49" s="4" t="s">
        <v>100</v>
      </c>
      <c r="H49" s="4" t="s">
        <v>101</v>
      </c>
      <c r="I49" s="4"/>
      <c r="J49" s="4"/>
      <c r="K49" s="4">
        <v>229</v>
      </c>
      <c r="L49" s="4">
        <v>10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>
        <v>0</v>
      </c>
      <c r="X49" s="4">
        <v>1</v>
      </c>
      <c r="Y49" s="4">
        <v>0</v>
      </c>
      <c r="Z49" s="4"/>
      <c r="AA49" s="4"/>
      <c r="AB49" s="4"/>
    </row>
    <row r="50" spans="1:28" x14ac:dyDescent="0.2">
      <c r="A50" s="4">
        <v>50</v>
      </c>
      <c r="B50" s="4">
        <v>0</v>
      </c>
      <c r="C50" s="4">
        <v>0</v>
      </c>
      <c r="D50" s="4">
        <v>1</v>
      </c>
      <c r="E50" s="4">
        <v>203</v>
      </c>
      <c r="F50" s="4">
        <f>ROUND(Source!Q38,O50)</f>
        <v>235413.74</v>
      </c>
      <c r="G50" s="4" t="s">
        <v>102</v>
      </c>
      <c r="H50" s="4" t="s">
        <v>103</v>
      </c>
      <c r="I50" s="4"/>
      <c r="J50" s="4"/>
      <c r="K50" s="4">
        <v>203</v>
      </c>
      <c r="L50" s="4">
        <v>11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>
        <v>235413.74</v>
      </c>
      <c r="X50" s="4">
        <v>1</v>
      </c>
      <c r="Y50" s="4">
        <v>235413.74</v>
      </c>
      <c r="Z50" s="4"/>
      <c r="AA50" s="4"/>
      <c r="AB50" s="4"/>
    </row>
    <row r="51" spans="1:28" x14ac:dyDescent="0.2">
      <c r="A51" s="4">
        <v>50</v>
      </c>
      <c r="B51" s="4">
        <v>0</v>
      </c>
      <c r="C51" s="4">
        <v>0</v>
      </c>
      <c r="D51" s="4">
        <v>1</v>
      </c>
      <c r="E51" s="4">
        <v>231</v>
      </c>
      <c r="F51" s="4">
        <f>ROUND(Source!BB38,O51)</f>
        <v>0</v>
      </c>
      <c r="G51" s="4" t="s">
        <v>104</v>
      </c>
      <c r="H51" s="4" t="s">
        <v>105</v>
      </c>
      <c r="I51" s="4"/>
      <c r="J51" s="4"/>
      <c r="K51" s="4">
        <v>231</v>
      </c>
      <c r="L51" s="4">
        <v>12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>
        <v>0</v>
      </c>
      <c r="X51" s="4">
        <v>1</v>
      </c>
      <c r="Y51" s="4">
        <v>0</v>
      </c>
      <c r="Z51" s="4"/>
      <c r="AA51" s="4"/>
      <c r="AB51" s="4"/>
    </row>
    <row r="52" spans="1:28" x14ac:dyDescent="0.2">
      <c r="A52" s="4">
        <v>50</v>
      </c>
      <c r="B52" s="4">
        <v>0</v>
      </c>
      <c r="C52" s="4">
        <v>0</v>
      </c>
      <c r="D52" s="4">
        <v>1</v>
      </c>
      <c r="E52" s="4">
        <v>204</v>
      </c>
      <c r="F52" s="4">
        <f>ROUND(Source!R38,O52)</f>
        <v>58335.87</v>
      </c>
      <c r="G52" s="4" t="s">
        <v>106</v>
      </c>
      <c r="H52" s="4" t="s">
        <v>107</v>
      </c>
      <c r="I52" s="4"/>
      <c r="J52" s="4"/>
      <c r="K52" s="4">
        <v>204</v>
      </c>
      <c r="L52" s="4">
        <v>13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>
        <v>58335.87</v>
      </c>
      <c r="X52" s="4">
        <v>1</v>
      </c>
      <c r="Y52" s="4">
        <v>58335.87</v>
      </c>
      <c r="Z52" s="4"/>
      <c r="AA52" s="4"/>
      <c r="AB52" s="4"/>
    </row>
    <row r="53" spans="1:28" x14ac:dyDescent="0.2">
      <c r="A53" s="4">
        <v>50</v>
      </c>
      <c r="B53" s="4">
        <v>0</v>
      </c>
      <c r="C53" s="4">
        <v>0</v>
      </c>
      <c r="D53" s="4">
        <v>1</v>
      </c>
      <c r="E53" s="4">
        <v>205</v>
      </c>
      <c r="F53" s="4">
        <f>ROUND(Source!S38,O53)</f>
        <v>287831.81</v>
      </c>
      <c r="G53" s="4" t="s">
        <v>108</v>
      </c>
      <c r="H53" s="4" t="s">
        <v>109</v>
      </c>
      <c r="I53" s="4"/>
      <c r="J53" s="4"/>
      <c r="K53" s="4">
        <v>205</v>
      </c>
      <c r="L53" s="4">
        <v>14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>
        <v>287831.81</v>
      </c>
      <c r="X53" s="4">
        <v>1</v>
      </c>
      <c r="Y53" s="4">
        <v>287831.81</v>
      </c>
      <c r="Z53" s="4"/>
      <c r="AA53" s="4"/>
      <c r="AB53" s="4"/>
    </row>
    <row r="54" spans="1:28" x14ac:dyDescent="0.2">
      <c r="A54" s="4">
        <v>50</v>
      </c>
      <c r="B54" s="4">
        <v>0</v>
      </c>
      <c r="C54" s="4">
        <v>0</v>
      </c>
      <c r="D54" s="4">
        <v>1</v>
      </c>
      <c r="E54" s="4">
        <v>232</v>
      </c>
      <c r="F54" s="4">
        <f>ROUND(Source!BC38,O54)</f>
        <v>0</v>
      </c>
      <c r="G54" s="4" t="s">
        <v>110</v>
      </c>
      <c r="H54" s="4" t="s">
        <v>111</v>
      </c>
      <c r="I54" s="4"/>
      <c r="J54" s="4"/>
      <c r="K54" s="4">
        <v>232</v>
      </c>
      <c r="L54" s="4">
        <v>15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>
        <v>0</v>
      </c>
      <c r="X54" s="4">
        <v>1</v>
      </c>
      <c r="Y54" s="4">
        <v>0</v>
      </c>
      <c r="Z54" s="4"/>
      <c r="AA54" s="4"/>
      <c r="AB54" s="4"/>
    </row>
    <row r="55" spans="1:28" x14ac:dyDescent="0.2">
      <c r="A55" s="4">
        <v>50</v>
      </c>
      <c r="B55" s="4">
        <v>0</v>
      </c>
      <c r="C55" s="4">
        <v>0</v>
      </c>
      <c r="D55" s="4">
        <v>1</v>
      </c>
      <c r="E55" s="4">
        <v>214</v>
      </c>
      <c r="F55" s="4">
        <f>ROUND(Source!AS38,O55)</f>
        <v>1138754.3500000001</v>
      </c>
      <c r="G55" s="4" t="s">
        <v>112</v>
      </c>
      <c r="H55" s="4" t="s">
        <v>113</v>
      </c>
      <c r="I55" s="4"/>
      <c r="J55" s="4"/>
      <c r="K55" s="4">
        <v>214</v>
      </c>
      <c r="L55" s="4">
        <v>16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>
        <v>1138754.3500000001</v>
      </c>
      <c r="X55" s="4">
        <v>1</v>
      </c>
      <c r="Y55" s="4">
        <v>1138754.3500000001</v>
      </c>
      <c r="Z55" s="4"/>
      <c r="AA55" s="4"/>
      <c r="AB55" s="4"/>
    </row>
    <row r="56" spans="1:28" x14ac:dyDescent="0.2">
      <c r="A56" s="4">
        <v>50</v>
      </c>
      <c r="B56" s="4">
        <v>0</v>
      </c>
      <c r="C56" s="4">
        <v>0</v>
      </c>
      <c r="D56" s="4">
        <v>1</v>
      </c>
      <c r="E56" s="4">
        <v>215</v>
      </c>
      <c r="F56" s="4">
        <f>ROUND(Source!AT38,O56)</f>
        <v>0</v>
      </c>
      <c r="G56" s="4" t="s">
        <v>114</v>
      </c>
      <c r="H56" s="4" t="s">
        <v>115</v>
      </c>
      <c r="I56" s="4"/>
      <c r="J56" s="4"/>
      <c r="K56" s="4">
        <v>215</v>
      </c>
      <c r="L56" s="4">
        <v>17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>
        <v>0</v>
      </c>
      <c r="X56" s="4">
        <v>1</v>
      </c>
      <c r="Y56" s="4">
        <v>0</v>
      </c>
      <c r="Z56" s="4"/>
      <c r="AA56" s="4"/>
      <c r="AB56" s="4"/>
    </row>
    <row r="57" spans="1:28" x14ac:dyDescent="0.2">
      <c r="A57" s="4">
        <v>50</v>
      </c>
      <c r="B57" s="4">
        <v>0</v>
      </c>
      <c r="C57" s="4">
        <v>0</v>
      </c>
      <c r="D57" s="4">
        <v>1</v>
      </c>
      <c r="E57" s="4">
        <v>217</v>
      </c>
      <c r="F57" s="4">
        <f>ROUND(Source!AU38,O57)</f>
        <v>0</v>
      </c>
      <c r="G57" s="4" t="s">
        <v>116</v>
      </c>
      <c r="H57" s="4" t="s">
        <v>117</v>
      </c>
      <c r="I57" s="4"/>
      <c r="J57" s="4"/>
      <c r="K57" s="4">
        <v>217</v>
      </c>
      <c r="L57" s="4">
        <v>18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>
        <v>0</v>
      </c>
      <c r="X57" s="4">
        <v>1</v>
      </c>
      <c r="Y57" s="4">
        <v>0</v>
      </c>
      <c r="Z57" s="4"/>
      <c r="AA57" s="4"/>
      <c r="AB57" s="4"/>
    </row>
    <row r="58" spans="1:28" x14ac:dyDescent="0.2">
      <c r="A58" s="4">
        <v>50</v>
      </c>
      <c r="B58" s="4">
        <v>0</v>
      </c>
      <c r="C58" s="4">
        <v>0</v>
      </c>
      <c r="D58" s="4">
        <v>1</v>
      </c>
      <c r="E58" s="4">
        <v>230</v>
      </c>
      <c r="F58" s="4">
        <f>ROUND(Source!BA38,O58)</f>
        <v>0</v>
      </c>
      <c r="G58" s="4" t="s">
        <v>118</v>
      </c>
      <c r="H58" s="4" t="s">
        <v>119</v>
      </c>
      <c r="I58" s="4"/>
      <c r="J58" s="4"/>
      <c r="K58" s="4">
        <v>230</v>
      </c>
      <c r="L58" s="4">
        <v>19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>
        <v>0</v>
      </c>
      <c r="X58" s="4">
        <v>1</v>
      </c>
      <c r="Y58" s="4">
        <v>0</v>
      </c>
      <c r="Z58" s="4"/>
      <c r="AA58" s="4"/>
      <c r="AB58" s="4"/>
    </row>
    <row r="59" spans="1:28" x14ac:dyDescent="0.2">
      <c r="A59" s="4">
        <v>50</v>
      </c>
      <c r="B59" s="4">
        <v>0</v>
      </c>
      <c r="C59" s="4">
        <v>0</v>
      </c>
      <c r="D59" s="4">
        <v>1</v>
      </c>
      <c r="E59" s="4">
        <v>206</v>
      </c>
      <c r="F59" s="4">
        <f>ROUND(Source!T38,O59)</f>
        <v>0</v>
      </c>
      <c r="G59" s="4" t="s">
        <v>120</v>
      </c>
      <c r="H59" s="4" t="s">
        <v>121</v>
      </c>
      <c r="I59" s="4"/>
      <c r="J59" s="4"/>
      <c r="K59" s="4">
        <v>206</v>
      </c>
      <c r="L59" s="4">
        <v>20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>
        <v>0</v>
      </c>
      <c r="X59" s="4">
        <v>1</v>
      </c>
      <c r="Y59" s="4">
        <v>0</v>
      </c>
      <c r="Z59" s="4"/>
      <c r="AA59" s="4"/>
      <c r="AB59" s="4"/>
    </row>
    <row r="60" spans="1:28" x14ac:dyDescent="0.2">
      <c r="A60" s="4">
        <v>50</v>
      </c>
      <c r="B60" s="4">
        <v>0</v>
      </c>
      <c r="C60" s="4">
        <v>0</v>
      </c>
      <c r="D60" s="4">
        <v>1</v>
      </c>
      <c r="E60" s="4">
        <v>207</v>
      </c>
      <c r="F60" s="4">
        <f>Source!U38</f>
        <v>953.91946500000006</v>
      </c>
      <c r="G60" s="4" t="s">
        <v>122</v>
      </c>
      <c r="H60" s="4" t="s">
        <v>123</v>
      </c>
      <c r="I60" s="4"/>
      <c r="J60" s="4"/>
      <c r="K60" s="4">
        <v>207</v>
      </c>
      <c r="L60" s="4">
        <v>21</v>
      </c>
      <c r="M60" s="4">
        <v>3</v>
      </c>
      <c r="N60" s="4" t="s">
        <v>3</v>
      </c>
      <c r="O60" s="4">
        <v>-1</v>
      </c>
      <c r="P60" s="4"/>
      <c r="Q60" s="4"/>
      <c r="R60" s="4"/>
      <c r="S60" s="4"/>
      <c r="T60" s="4"/>
      <c r="U60" s="4"/>
      <c r="V60" s="4"/>
      <c r="W60" s="4">
        <v>953.91946500000006</v>
      </c>
      <c r="X60" s="4">
        <v>1</v>
      </c>
      <c r="Y60" s="4">
        <v>953.91946500000006</v>
      </c>
      <c r="Z60" s="4"/>
      <c r="AA60" s="4"/>
      <c r="AB60" s="4"/>
    </row>
    <row r="61" spans="1:28" x14ac:dyDescent="0.2">
      <c r="A61" s="4">
        <v>50</v>
      </c>
      <c r="B61" s="4">
        <v>0</v>
      </c>
      <c r="C61" s="4">
        <v>0</v>
      </c>
      <c r="D61" s="4">
        <v>1</v>
      </c>
      <c r="E61" s="4">
        <v>208</v>
      </c>
      <c r="F61" s="4">
        <f>Source!V38</f>
        <v>140.63884999999999</v>
      </c>
      <c r="G61" s="4" t="s">
        <v>124</v>
      </c>
      <c r="H61" s="4" t="s">
        <v>125</v>
      </c>
      <c r="I61" s="4"/>
      <c r="J61" s="4"/>
      <c r="K61" s="4">
        <v>208</v>
      </c>
      <c r="L61" s="4">
        <v>22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>
        <v>140.63885000000002</v>
      </c>
      <c r="X61" s="4">
        <v>1</v>
      </c>
      <c r="Y61" s="4">
        <v>140.63885000000002</v>
      </c>
      <c r="Z61" s="4"/>
      <c r="AA61" s="4"/>
      <c r="AB61" s="4"/>
    </row>
    <row r="62" spans="1:28" x14ac:dyDescent="0.2">
      <c r="A62" s="4">
        <v>50</v>
      </c>
      <c r="B62" s="4">
        <v>0</v>
      </c>
      <c r="C62" s="4">
        <v>0</v>
      </c>
      <c r="D62" s="4">
        <v>1</v>
      </c>
      <c r="E62" s="4">
        <v>209</v>
      </c>
      <c r="F62" s="4">
        <f>ROUND(Source!W38,O62)</f>
        <v>0</v>
      </c>
      <c r="G62" s="4" t="s">
        <v>126</v>
      </c>
      <c r="H62" s="4" t="s">
        <v>127</v>
      </c>
      <c r="I62" s="4"/>
      <c r="J62" s="4"/>
      <c r="K62" s="4">
        <v>209</v>
      </c>
      <c r="L62" s="4">
        <v>23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>
        <v>0</v>
      </c>
      <c r="X62" s="4">
        <v>1</v>
      </c>
      <c r="Y62" s="4">
        <v>0</v>
      </c>
      <c r="Z62" s="4"/>
      <c r="AA62" s="4"/>
      <c r="AB62" s="4"/>
    </row>
    <row r="63" spans="1:28" x14ac:dyDescent="0.2">
      <c r="A63" s="4">
        <v>50</v>
      </c>
      <c r="B63" s="4">
        <v>0</v>
      </c>
      <c r="C63" s="4">
        <v>0</v>
      </c>
      <c r="D63" s="4">
        <v>1</v>
      </c>
      <c r="E63" s="4">
        <v>233</v>
      </c>
      <c r="F63" s="4">
        <f>ROUND(Source!BD38,O63)</f>
        <v>0</v>
      </c>
      <c r="G63" s="4" t="s">
        <v>128</v>
      </c>
      <c r="H63" s="4" t="s">
        <v>129</v>
      </c>
      <c r="I63" s="4"/>
      <c r="J63" s="4"/>
      <c r="K63" s="4">
        <v>233</v>
      </c>
      <c r="L63" s="4">
        <v>24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>
        <v>0</v>
      </c>
      <c r="X63" s="4">
        <v>1</v>
      </c>
      <c r="Y63" s="4">
        <v>0</v>
      </c>
      <c r="Z63" s="4"/>
      <c r="AA63" s="4"/>
      <c r="AB63" s="4"/>
    </row>
    <row r="64" spans="1:28" x14ac:dyDescent="0.2">
      <c r="A64" s="4">
        <v>50</v>
      </c>
      <c r="B64" s="4">
        <v>0</v>
      </c>
      <c r="C64" s="4">
        <v>0</v>
      </c>
      <c r="D64" s="4">
        <v>1</v>
      </c>
      <c r="E64" s="4">
        <v>210</v>
      </c>
      <c r="F64" s="4">
        <f>ROUND(Source!X38,O64)</f>
        <v>370656.72</v>
      </c>
      <c r="G64" s="4" t="s">
        <v>130</v>
      </c>
      <c r="H64" s="4" t="s">
        <v>131</v>
      </c>
      <c r="I64" s="4"/>
      <c r="J64" s="4"/>
      <c r="K64" s="4">
        <v>210</v>
      </c>
      <c r="L64" s="4">
        <v>25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>
        <v>370656.72</v>
      </c>
      <c r="X64" s="4">
        <v>1</v>
      </c>
      <c r="Y64" s="4">
        <v>370656.72</v>
      </c>
      <c r="Z64" s="4"/>
      <c r="AA64" s="4"/>
      <c r="AB64" s="4"/>
    </row>
    <row r="65" spans="1:245" x14ac:dyDescent="0.2">
      <c r="A65" s="4">
        <v>50</v>
      </c>
      <c r="B65" s="4">
        <v>0</v>
      </c>
      <c r="C65" s="4">
        <v>0</v>
      </c>
      <c r="D65" s="4">
        <v>1</v>
      </c>
      <c r="E65" s="4">
        <v>211</v>
      </c>
      <c r="F65" s="4">
        <f>ROUND(Source!Y38,O65)</f>
        <v>244852.08</v>
      </c>
      <c r="G65" s="4" t="s">
        <v>132</v>
      </c>
      <c r="H65" s="4" t="s">
        <v>133</v>
      </c>
      <c r="I65" s="4"/>
      <c r="J65" s="4"/>
      <c r="K65" s="4">
        <v>211</v>
      </c>
      <c r="L65" s="4">
        <v>26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>
        <v>244852.08</v>
      </c>
      <c r="X65" s="4">
        <v>1</v>
      </c>
      <c r="Y65" s="4">
        <v>244852.08</v>
      </c>
      <c r="Z65" s="4"/>
      <c r="AA65" s="4"/>
      <c r="AB65" s="4"/>
    </row>
    <row r="66" spans="1:245" x14ac:dyDescent="0.2">
      <c r="A66" s="4">
        <v>50</v>
      </c>
      <c r="B66" s="4">
        <v>0</v>
      </c>
      <c r="C66" s="4">
        <v>0</v>
      </c>
      <c r="D66" s="4">
        <v>1</v>
      </c>
      <c r="E66" s="4">
        <v>224</v>
      </c>
      <c r="F66" s="4">
        <f>ROUND(Source!AR38,O66)</f>
        <v>1138754.3500000001</v>
      </c>
      <c r="G66" s="4" t="s">
        <v>134</v>
      </c>
      <c r="H66" s="4" t="s">
        <v>135</v>
      </c>
      <c r="I66" s="4"/>
      <c r="J66" s="4"/>
      <c r="K66" s="4">
        <v>224</v>
      </c>
      <c r="L66" s="4">
        <v>27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>
        <v>1138754.3500000001</v>
      </c>
      <c r="X66" s="4">
        <v>1</v>
      </c>
      <c r="Y66" s="4">
        <v>1138754.3500000001</v>
      </c>
      <c r="Z66" s="4"/>
      <c r="AA66" s="4"/>
      <c r="AB66" s="4"/>
    </row>
    <row r="67" spans="1:245" x14ac:dyDescent="0.2">
      <c r="A67" s="4">
        <v>50</v>
      </c>
      <c r="B67" s="4">
        <v>1</v>
      </c>
      <c r="C67" s="4">
        <v>0</v>
      </c>
      <c r="D67" s="4">
        <v>2</v>
      </c>
      <c r="E67" s="4">
        <v>0</v>
      </c>
      <c r="F67" s="4">
        <f>ROUND(F53,O67)</f>
        <v>287831.81</v>
      </c>
      <c r="G67" s="4" t="s">
        <v>136</v>
      </c>
      <c r="H67" s="4" t="s">
        <v>108</v>
      </c>
      <c r="I67" s="4"/>
      <c r="J67" s="4"/>
      <c r="K67" s="4">
        <v>212</v>
      </c>
      <c r="L67" s="4">
        <v>28</v>
      </c>
      <c r="M67" s="4">
        <v>0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>
        <v>287831.81</v>
      </c>
      <c r="X67" s="4">
        <v>1</v>
      </c>
      <c r="Y67" s="4">
        <v>287831.81</v>
      </c>
      <c r="Z67" s="4"/>
      <c r="AA67" s="4"/>
      <c r="AB67" s="4"/>
    </row>
    <row r="68" spans="1:245" x14ac:dyDescent="0.2">
      <c r="A68" s="4">
        <v>50</v>
      </c>
      <c r="B68" s="4">
        <v>1</v>
      </c>
      <c r="C68" s="4">
        <v>0</v>
      </c>
      <c r="D68" s="4">
        <v>2</v>
      </c>
      <c r="E68" s="4">
        <v>0</v>
      </c>
      <c r="F68" s="4">
        <f>ROUND(F50,O68)</f>
        <v>235413.74</v>
      </c>
      <c r="G68" s="4" t="s">
        <v>137</v>
      </c>
      <c r="H68" s="4" t="s">
        <v>138</v>
      </c>
      <c r="I68" s="4"/>
      <c r="J68" s="4"/>
      <c r="K68" s="4">
        <v>212</v>
      </c>
      <c r="L68" s="4">
        <v>29</v>
      </c>
      <c r="M68" s="4">
        <v>0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>
        <v>235413.74</v>
      </c>
      <c r="X68" s="4">
        <v>1</v>
      </c>
      <c r="Y68" s="4">
        <v>235413.74</v>
      </c>
      <c r="Z68" s="4"/>
      <c r="AA68" s="4"/>
      <c r="AB68" s="4"/>
    </row>
    <row r="69" spans="1:245" x14ac:dyDescent="0.2">
      <c r="A69" s="4">
        <v>50</v>
      </c>
      <c r="B69" s="4">
        <v>1</v>
      </c>
      <c r="C69" s="4">
        <v>0</v>
      </c>
      <c r="D69" s="4">
        <v>2</v>
      </c>
      <c r="E69" s="4">
        <v>0</v>
      </c>
      <c r="F69" s="4">
        <f>ROUND(F41,O69)</f>
        <v>0</v>
      </c>
      <c r="G69" s="4" t="s">
        <v>139</v>
      </c>
      <c r="H69" s="4" t="s">
        <v>140</v>
      </c>
      <c r="I69" s="4"/>
      <c r="J69" s="4"/>
      <c r="K69" s="4">
        <v>212</v>
      </c>
      <c r="L69" s="4">
        <v>30</v>
      </c>
      <c r="M69" s="4">
        <v>0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>
        <v>0</v>
      </c>
      <c r="X69" s="4">
        <v>1</v>
      </c>
      <c r="Y69" s="4">
        <v>0</v>
      </c>
      <c r="Z69" s="4"/>
      <c r="AA69" s="4"/>
      <c r="AB69" s="4"/>
    </row>
    <row r="70" spans="1:245" x14ac:dyDescent="0.2">
      <c r="A70" s="4">
        <v>50</v>
      </c>
      <c r="B70" s="4">
        <v>1</v>
      </c>
      <c r="C70" s="4">
        <v>0</v>
      </c>
      <c r="D70" s="4">
        <v>2</v>
      </c>
      <c r="E70" s="4">
        <v>0</v>
      </c>
      <c r="F70" s="4">
        <f>ROUND(F64,O70)</f>
        <v>370656.72</v>
      </c>
      <c r="G70" s="4" t="s">
        <v>141</v>
      </c>
      <c r="H70" s="4" t="s">
        <v>130</v>
      </c>
      <c r="I70" s="4"/>
      <c r="J70" s="4"/>
      <c r="K70" s="4">
        <v>212</v>
      </c>
      <c r="L70" s="4">
        <v>31</v>
      </c>
      <c r="M70" s="4">
        <v>0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>
        <v>370656.72</v>
      </c>
      <c r="X70" s="4">
        <v>1</v>
      </c>
      <c r="Y70" s="4">
        <v>370656.72</v>
      </c>
      <c r="Z70" s="4"/>
      <c r="AA70" s="4"/>
      <c r="AB70" s="4"/>
    </row>
    <row r="71" spans="1:245" x14ac:dyDescent="0.2">
      <c r="A71" s="4">
        <v>50</v>
      </c>
      <c r="B71" s="4">
        <v>1</v>
      </c>
      <c r="C71" s="4">
        <v>0</v>
      </c>
      <c r="D71" s="4">
        <v>2</v>
      </c>
      <c r="E71" s="4">
        <v>0</v>
      </c>
      <c r="F71" s="4">
        <f>ROUND(F65,O71)</f>
        <v>244852.08</v>
      </c>
      <c r="G71" s="4" t="s">
        <v>142</v>
      </c>
      <c r="H71" s="4" t="s">
        <v>143</v>
      </c>
      <c r="I71" s="4"/>
      <c r="J71" s="4"/>
      <c r="K71" s="4">
        <v>212</v>
      </c>
      <c r="L71" s="4">
        <v>32</v>
      </c>
      <c r="M71" s="4">
        <v>0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>
        <v>244852.08</v>
      </c>
      <c r="X71" s="4">
        <v>1</v>
      </c>
      <c r="Y71" s="4">
        <v>244852.08</v>
      </c>
      <c r="Z71" s="4"/>
      <c r="AA71" s="4"/>
      <c r="AB71" s="4"/>
    </row>
    <row r="72" spans="1:245" x14ac:dyDescent="0.2">
      <c r="A72" s="4">
        <v>50</v>
      </c>
      <c r="B72" s="4">
        <v>1</v>
      </c>
      <c r="C72" s="4">
        <v>0</v>
      </c>
      <c r="D72" s="4">
        <v>2</v>
      </c>
      <c r="E72" s="4">
        <v>0</v>
      </c>
      <c r="F72" s="4">
        <f>ROUND(F67+F68+F69+F70+F71,O72)</f>
        <v>1138754.3500000001</v>
      </c>
      <c r="G72" s="4" t="s">
        <v>144</v>
      </c>
      <c r="H72" s="4" t="s">
        <v>134</v>
      </c>
      <c r="I72" s="4"/>
      <c r="J72" s="4"/>
      <c r="K72" s="4">
        <v>212</v>
      </c>
      <c r="L72" s="4">
        <v>33</v>
      </c>
      <c r="M72" s="4">
        <v>0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>
        <v>1138754.3500000001</v>
      </c>
      <c r="X72" s="4">
        <v>1</v>
      </c>
      <c r="Y72" s="4">
        <v>1138754.3500000001</v>
      </c>
      <c r="Z72" s="4"/>
      <c r="AA72" s="4"/>
      <c r="AB72" s="4"/>
    </row>
    <row r="73" spans="1:245" x14ac:dyDescent="0.2">
      <c r="A73" s="4">
        <v>50</v>
      </c>
      <c r="B73" s="4">
        <v>1</v>
      </c>
      <c r="C73" s="4">
        <v>0</v>
      </c>
      <c r="D73" s="4">
        <v>2</v>
      </c>
      <c r="E73" s="4">
        <v>0</v>
      </c>
      <c r="F73" s="4">
        <f>ROUND(F72*0.2,O73)</f>
        <v>227750.87</v>
      </c>
      <c r="G73" s="4" t="s">
        <v>145</v>
      </c>
      <c r="H73" s="4" t="s">
        <v>146</v>
      </c>
      <c r="I73" s="4"/>
      <c r="J73" s="4"/>
      <c r="K73" s="4">
        <v>212</v>
      </c>
      <c r="L73" s="4">
        <v>34</v>
      </c>
      <c r="M73" s="4">
        <v>0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>
        <v>227750.87</v>
      </c>
      <c r="X73" s="4">
        <v>1</v>
      </c>
      <c r="Y73" s="4">
        <v>227750.87</v>
      </c>
      <c r="Z73" s="4"/>
      <c r="AA73" s="4"/>
      <c r="AB73" s="4"/>
    </row>
    <row r="74" spans="1:245" x14ac:dyDescent="0.2">
      <c r="A74" s="4">
        <v>50</v>
      </c>
      <c r="B74" s="4">
        <v>1</v>
      </c>
      <c r="C74" s="4">
        <v>0</v>
      </c>
      <c r="D74" s="4">
        <v>2</v>
      </c>
      <c r="E74" s="4">
        <v>213</v>
      </c>
      <c r="F74" s="4">
        <f>ROUND(F72+F73,O74)</f>
        <v>1366505.22</v>
      </c>
      <c r="G74" s="4" t="s">
        <v>147</v>
      </c>
      <c r="H74" s="4" t="s">
        <v>148</v>
      </c>
      <c r="I74" s="4"/>
      <c r="J74" s="4"/>
      <c r="K74" s="4">
        <v>212</v>
      </c>
      <c r="L74" s="4">
        <v>35</v>
      </c>
      <c r="M74" s="4">
        <v>0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>
        <v>1366505.22</v>
      </c>
      <c r="X74" s="4">
        <v>1</v>
      </c>
      <c r="Y74" s="4">
        <v>1366505.22</v>
      </c>
      <c r="Z74" s="4"/>
      <c r="AA74" s="4"/>
      <c r="AB74" s="4"/>
    </row>
    <row r="76" spans="1:245" x14ac:dyDescent="0.2">
      <c r="A76" s="1">
        <v>4</v>
      </c>
      <c r="B76" s="1">
        <v>1</v>
      </c>
      <c r="C76" s="1"/>
      <c r="D76" s="1">
        <f>ROW(A205)</f>
        <v>205</v>
      </c>
      <c r="E76" s="1"/>
      <c r="F76" s="1" t="s">
        <v>14</v>
      </c>
      <c r="G76" s="1" t="s">
        <v>149</v>
      </c>
      <c r="H76" s="1" t="s">
        <v>3</v>
      </c>
      <c r="I76" s="1">
        <v>0</v>
      </c>
      <c r="J76" s="1"/>
      <c r="K76" s="1">
        <v>0</v>
      </c>
      <c r="L76" s="1"/>
      <c r="M76" s="1" t="s">
        <v>3</v>
      </c>
      <c r="N76" s="1"/>
      <c r="O76" s="1"/>
      <c r="P76" s="1"/>
      <c r="Q76" s="1"/>
      <c r="R76" s="1"/>
      <c r="S76" s="1">
        <v>0</v>
      </c>
      <c r="T76" s="1"/>
      <c r="U76" s="1" t="s">
        <v>3</v>
      </c>
      <c r="V76" s="1">
        <v>0</v>
      </c>
      <c r="W76" s="1"/>
      <c r="X76" s="1"/>
      <c r="Y76" s="1"/>
      <c r="Z76" s="1"/>
      <c r="AA76" s="1"/>
      <c r="AB76" s="1" t="s">
        <v>3</v>
      </c>
      <c r="AC76" s="1" t="s">
        <v>3</v>
      </c>
      <c r="AD76" s="1" t="s">
        <v>3</v>
      </c>
      <c r="AE76" s="1" t="s">
        <v>3</v>
      </c>
      <c r="AF76" s="1" t="s">
        <v>3</v>
      </c>
      <c r="AG76" s="1" t="s">
        <v>3</v>
      </c>
      <c r="AH76" s="1"/>
      <c r="AI76" s="1"/>
      <c r="AJ76" s="1"/>
      <c r="AK76" s="1"/>
      <c r="AL76" s="1"/>
      <c r="AM76" s="1"/>
      <c r="AN76" s="1"/>
      <c r="AO76" s="1"/>
      <c r="AP76" s="1" t="s">
        <v>3</v>
      </c>
      <c r="AQ76" s="1" t="s">
        <v>3</v>
      </c>
      <c r="AR76" s="1" t="s">
        <v>3</v>
      </c>
      <c r="AS76" s="1"/>
      <c r="AT76" s="1"/>
      <c r="AU76" s="1"/>
      <c r="AV76" s="1"/>
      <c r="AW76" s="1"/>
      <c r="AX76" s="1"/>
      <c r="AY76" s="1"/>
      <c r="AZ76" s="1" t="s">
        <v>3</v>
      </c>
      <c r="BA76" s="1"/>
      <c r="BB76" s="1" t="s">
        <v>3</v>
      </c>
      <c r="BC76" s="1" t="s">
        <v>3</v>
      </c>
      <c r="BD76" s="1" t="s">
        <v>3</v>
      </c>
      <c r="BE76" s="1" t="s">
        <v>3</v>
      </c>
      <c r="BF76" s="1" t="s">
        <v>3</v>
      </c>
      <c r="BG76" s="1" t="s">
        <v>3</v>
      </c>
      <c r="BH76" s="1" t="s">
        <v>3</v>
      </c>
      <c r="BI76" s="1" t="s">
        <v>3</v>
      </c>
      <c r="BJ76" s="1" t="s">
        <v>3</v>
      </c>
      <c r="BK76" s="1" t="s">
        <v>3</v>
      </c>
      <c r="BL76" s="1" t="s">
        <v>3</v>
      </c>
      <c r="BM76" s="1" t="s">
        <v>3</v>
      </c>
      <c r="BN76" s="1" t="s">
        <v>3</v>
      </c>
      <c r="BO76" s="1" t="s">
        <v>3</v>
      </c>
      <c r="BP76" s="1" t="s">
        <v>3</v>
      </c>
      <c r="BQ76" s="1"/>
      <c r="BR76" s="1"/>
      <c r="BS76" s="1"/>
      <c r="BT76" s="1"/>
      <c r="BU76" s="1"/>
      <c r="BV76" s="1"/>
      <c r="BW76" s="1"/>
      <c r="BX76" s="1">
        <v>0</v>
      </c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>
        <v>0</v>
      </c>
    </row>
    <row r="78" spans="1:245" x14ac:dyDescent="0.2">
      <c r="A78" s="2">
        <v>52</v>
      </c>
      <c r="B78" s="2">
        <f t="shared" ref="B78:G78" si="58">B205</f>
        <v>1</v>
      </c>
      <c r="C78" s="2">
        <f t="shared" si="58"/>
        <v>4</v>
      </c>
      <c r="D78" s="2">
        <f t="shared" si="58"/>
        <v>76</v>
      </c>
      <c r="E78" s="2">
        <f t="shared" si="58"/>
        <v>0</v>
      </c>
      <c r="F78" s="2" t="str">
        <f t="shared" si="58"/>
        <v>Новый раздел</v>
      </c>
      <c r="G78" s="2" t="str">
        <f t="shared" si="58"/>
        <v>Ограждение территории</v>
      </c>
      <c r="H78" s="2"/>
      <c r="I78" s="2"/>
      <c r="J78" s="2"/>
      <c r="K78" s="2"/>
      <c r="L78" s="2"/>
      <c r="M78" s="2"/>
      <c r="N78" s="2"/>
      <c r="O78" s="2">
        <f t="shared" ref="O78:AT78" si="59">O205</f>
        <v>970830.69</v>
      </c>
      <c r="P78" s="2">
        <f t="shared" si="59"/>
        <v>334670.49</v>
      </c>
      <c r="Q78" s="2">
        <f t="shared" si="59"/>
        <v>205094.88</v>
      </c>
      <c r="R78" s="2">
        <f t="shared" si="59"/>
        <v>55355.93</v>
      </c>
      <c r="S78" s="2">
        <f t="shared" si="59"/>
        <v>431065.32</v>
      </c>
      <c r="T78" s="2">
        <f t="shared" si="59"/>
        <v>0</v>
      </c>
      <c r="U78" s="2">
        <f t="shared" si="59"/>
        <v>1406.2770600000001</v>
      </c>
      <c r="V78" s="2">
        <f t="shared" si="59"/>
        <v>129.71266</v>
      </c>
      <c r="W78" s="2">
        <f t="shared" si="59"/>
        <v>0</v>
      </c>
      <c r="X78" s="2">
        <f t="shared" si="59"/>
        <v>532443.44999999995</v>
      </c>
      <c r="Y78" s="2">
        <f t="shared" si="59"/>
        <v>352040.38</v>
      </c>
      <c r="Z78" s="2">
        <f t="shared" si="59"/>
        <v>0</v>
      </c>
      <c r="AA78" s="2">
        <f t="shared" si="59"/>
        <v>0</v>
      </c>
      <c r="AB78" s="2">
        <f t="shared" si="59"/>
        <v>917486.46</v>
      </c>
      <c r="AC78" s="2">
        <f t="shared" si="59"/>
        <v>301795.94</v>
      </c>
      <c r="AD78" s="2">
        <f t="shared" si="59"/>
        <v>197490.62</v>
      </c>
      <c r="AE78" s="2">
        <f t="shared" si="59"/>
        <v>54176.65</v>
      </c>
      <c r="AF78" s="2">
        <f t="shared" si="59"/>
        <v>418199.9</v>
      </c>
      <c r="AG78" s="2">
        <f t="shared" si="59"/>
        <v>0</v>
      </c>
      <c r="AH78" s="2">
        <f t="shared" si="59"/>
        <v>1366.0261500000001</v>
      </c>
      <c r="AI78" s="2">
        <f t="shared" si="59"/>
        <v>126.94460000000001</v>
      </c>
      <c r="AJ78" s="2">
        <f t="shared" si="59"/>
        <v>0</v>
      </c>
      <c r="AK78" s="2">
        <f t="shared" si="59"/>
        <v>519614.21</v>
      </c>
      <c r="AL78" s="2">
        <f t="shared" si="59"/>
        <v>344834.88</v>
      </c>
      <c r="AM78" s="2">
        <f t="shared" si="59"/>
        <v>0</v>
      </c>
      <c r="AN78" s="2">
        <f t="shared" si="59"/>
        <v>0</v>
      </c>
      <c r="AO78" s="2">
        <f t="shared" si="59"/>
        <v>0</v>
      </c>
      <c r="AP78" s="2">
        <f t="shared" si="59"/>
        <v>0</v>
      </c>
      <c r="AQ78" s="2">
        <f t="shared" si="59"/>
        <v>0</v>
      </c>
      <c r="AR78" s="2">
        <f t="shared" si="59"/>
        <v>1855314.52</v>
      </c>
      <c r="AS78" s="2">
        <f t="shared" si="59"/>
        <v>1832258.1</v>
      </c>
      <c r="AT78" s="2">
        <f t="shared" si="59"/>
        <v>23056.42</v>
      </c>
      <c r="AU78" s="2">
        <f t="shared" ref="AU78:BZ78" si="60">AU205</f>
        <v>0</v>
      </c>
      <c r="AV78" s="2">
        <f t="shared" si="60"/>
        <v>334670.49</v>
      </c>
      <c r="AW78" s="2">
        <f t="shared" si="60"/>
        <v>334670.49</v>
      </c>
      <c r="AX78" s="2">
        <f t="shared" si="60"/>
        <v>0</v>
      </c>
      <c r="AY78" s="2">
        <f t="shared" si="60"/>
        <v>334670.49</v>
      </c>
      <c r="AZ78" s="2">
        <f t="shared" si="60"/>
        <v>0</v>
      </c>
      <c r="BA78" s="2">
        <f t="shared" si="60"/>
        <v>0</v>
      </c>
      <c r="BB78" s="2">
        <f t="shared" si="60"/>
        <v>0</v>
      </c>
      <c r="BC78" s="2">
        <f t="shared" si="60"/>
        <v>0</v>
      </c>
      <c r="BD78" s="2">
        <f t="shared" si="60"/>
        <v>0</v>
      </c>
      <c r="BE78" s="2">
        <f t="shared" si="60"/>
        <v>0</v>
      </c>
      <c r="BF78" s="2">
        <f t="shared" si="60"/>
        <v>0</v>
      </c>
      <c r="BG78" s="2">
        <f t="shared" si="60"/>
        <v>0</v>
      </c>
      <c r="BH78" s="2">
        <f t="shared" si="60"/>
        <v>0</v>
      </c>
      <c r="BI78" s="2">
        <f t="shared" si="60"/>
        <v>0</v>
      </c>
      <c r="BJ78" s="2">
        <f t="shared" si="60"/>
        <v>0</v>
      </c>
      <c r="BK78" s="2">
        <f t="shared" si="60"/>
        <v>0</v>
      </c>
      <c r="BL78" s="2">
        <f t="shared" si="60"/>
        <v>0</v>
      </c>
      <c r="BM78" s="2">
        <f t="shared" si="60"/>
        <v>0</v>
      </c>
      <c r="BN78" s="2">
        <f t="shared" si="60"/>
        <v>0</v>
      </c>
      <c r="BO78" s="2">
        <f t="shared" si="60"/>
        <v>0</v>
      </c>
      <c r="BP78" s="2">
        <f t="shared" si="60"/>
        <v>0</v>
      </c>
      <c r="BQ78" s="2">
        <f t="shared" si="60"/>
        <v>0</v>
      </c>
      <c r="BR78" s="2">
        <f t="shared" si="60"/>
        <v>0</v>
      </c>
      <c r="BS78" s="2">
        <f t="shared" si="60"/>
        <v>0</v>
      </c>
      <c r="BT78" s="2">
        <f t="shared" si="60"/>
        <v>0</v>
      </c>
      <c r="BU78" s="2">
        <f t="shared" si="60"/>
        <v>0</v>
      </c>
      <c r="BV78" s="2">
        <f t="shared" si="60"/>
        <v>0</v>
      </c>
      <c r="BW78" s="2">
        <f t="shared" si="60"/>
        <v>0</v>
      </c>
      <c r="BX78" s="2">
        <f t="shared" si="60"/>
        <v>0</v>
      </c>
      <c r="BY78" s="2">
        <f t="shared" si="60"/>
        <v>0</v>
      </c>
      <c r="BZ78" s="2">
        <f t="shared" si="60"/>
        <v>0</v>
      </c>
      <c r="CA78" s="2">
        <f t="shared" ref="CA78:DF78" si="61">CA205</f>
        <v>1781935.55</v>
      </c>
      <c r="CB78" s="2">
        <f t="shared" si="61"/>
        <v>1781935.55</v>
      </c>
      <c r="CC78" s="2">
        <f t="shared" si="61"/>
        <v>0</v>
      </c>
      <c r="CD78" s="2">
        <f t="shared" si="61"/>
        <v>0</v>
      </c>
      <c r="CE78" s="2">
        <f t="shared" si="61"/>
        <v>301795.94</v>
      </c>
      <c r="CF78" s="2">
        <f t="shared" si="61"/>
        <v>301795.94</v>
      </c>
      <c r="CG78" s="2">
        <f t="shared" si="61"/>
        <v>0</v>
      </c>
      <c r="CH78" s="2">
        <f t="shared" si="61"/>
        <v>301795.94</v>
      </c>
      <c r="CI78" s="2">
        <f t="shared" si="61"/>
        <v>0</v>
      </c>
      <c r="CJ78" s="2">
        <f t="shared" si="61"/>
        <v>0</v>
      </c>
      <c r="CK78" s="2">
        <f t="shared" si="61"/>
        <v>0</v>
      </c>
      <c r="CL78" s="2">
        <f t="shared" si="61"/>
        <v>0</v>
      </c>
      <c r="CM78" s="2">
        <f t="shared" si="61"/>
        <v>0</v>
      </c>
      <c r="CN78" s="2">
        <f t="shared" si="61"/>
        <v>0</v>
      </c>
      <c r="CO78" s="2">
        <f t="shared" si="61"/>
        <v>0</v>
      </c>
      <c r="CP78" s="2">
        <f t="shared" si="61"/>
        <v>0</v>
      </c>
      <c r="CQ78" s="2">
        <f t="shared" si="61"/>
        <v>0</v>
      </c>
      <c r="CR78" s="2">
        <f t="shared" si="61"/>
        <v>0</v>
      </c>
      <c r="CS78" s="2">
        <f t="shared" si="61"/>
        <v>0</v>
      </c>
      <c r="CT78" s="2">
        <f t="shared" si="61"/>
        <v>0</v>
      </c>
      <c r="CU78" s="2">
        <f t="shared" si="61"/>
        <v>0</v>
      </c>
      <c r="CV78" s="2">
        <f t="shared" si="61"/>
        <v>0</v>
      </c>
      <c r="CW78" s="2">
        <f t="shared" si="61"/>
        <v>0</v>
      </c>
      <c r="CX78" s="2">
        <f t="shared" si="61"/>
        <v>0</v>
      </c>
      <c r="CY78" s="2">
        <f t="shared" si="61"/>
        <v>0</v>
      </c>
      <c r="CZ78" s="2">
        <f t="shared" si="61"/>
        <v>0</v>
      </c>
      <c r="DA78" s="2">
        <f t="shared" si="61"/>
        <v>0</v>
      </c>
      <c r="DB78" s="2">
        <f t="shared" si="61"/>
        <v>0</v>
      </c>
      <c r="DC78" s="2">
        <f t="shared" si="61"/>
        <v>0</v>
      </c>
      <c r="DD78" s="2">
        <f t="shared" si="61"/>
        <v>0</v>
      </c>
      <c r="DE78" s="2">
        <f t="shared" si="61"/>
        <v>0</v>
      </c>
      <c r="DF78" s="2">
        <f t="shared" si="61"/>
        <v>0</v>
      </c>
      <c r="DG78" s="3">
        <f t="shared" ref="DG78:EL78" si="62">DG205</f>
        <v>0</v>
      </c>
      <c r="DH78" s="3">
        <f t="shared" si="62"/>
        <v>0</v>
      </c>
      <c r="DI78" s="3">
        <f t="shared" si="62"/>
        <v>0</v>
      </c>
      <c r="DJ78" s="3">
        <f t="shared" si="62"/>
        <v>0</v>
      </c>
      <c r="DK78" s="3">
        <f t="shared" si="62"/>
        <v>0</v>
      </c>
      <c r="DL78" s="3">
        <f t="shared" si="62"/>
        <v>0</v>
      </c>
      <c r="DM78" s="3">
        <f t="shared" si="62"/>
        <v>0</v>
      </c>
      <c r="DN78" s="3">
        <f t="shared" si="62"/>
        <v>0</v>
      </c>
      <c r="DO78" s="3">
        <f t="shared" si="62"/>
        <v>0</v>
      </c>
      <c r="DP78" s="3">
        <f t="shared" si="62"/>
        <v>0</v>
      </c>
      <c r="DQ78" s="3">
        <f t="shared" si="62"/>
        <v>0</v>
      </c>
      <c r="DR78" s="3">
        <f t="shared" si="62"/>
        <v>0</v>
      </c>
      <c r="DS78" s="3">
        <f t="shared" si="62"/>
        <v>0</v>
      </c>
      <c r="DT78" s="3">
        <f t="shared" si="62"/>
        <v>0</v>
      </c>
      <c r="DU78" s="3">
        <f t="shared" si="62"/>
        <v>0</v>
      </c>
      <c r="DV78" s="3">
        <f t="shared" si="62"/>
        <v>0</v>
      </c>
      <c r="DW78" s="3">
        <f t="shared" si="62"/>
        <v>0</v>
      </c>
      <c r="DX78" s="3">
        <f t="shared" si="62"/>
        <v>0</v>
      </c>
      <c r="DY78" s="3">
        <f t="shared" si="62"/>
        <v>0</v>
      </c>
      <c r="DZ78" s="3">
        <f t="shared" si="62"/>
        <v>0</v>
      </c>
      <c r="EA78" s="3">
        <f t="shared" si="62"/>
        <v>0</v>
      </c>
      <c r="EB78" s="3">
        <f t="shared" si="62"/>
        <v>0</v>
      </c>
      <c r="EC78" s="3">
        <f t="shared" si="62"/>
        <v>0</v>
      </c>
      <c r="ED78" s="3">
        <f t="shared" si="62"/>
        <v>0</v>
      </c>
      <c r="EE78" s="3">
        <f t="shared" si="62"/>
        <v>0</v>
      </c>
      <c r="EF78" s="3">
        <f t="shared" si="62"/>
        <v>0</v>
      </c>
      <c r="EG78" s="3">
        <f t="shared" si="62"/>
        <v>0</v>
      </c>
      <c r="EH78" s="3">
        <f t="shared" si="62"/>
        <v>0</v>
      </c>
      <c r="EI78" s="3">
        <f t="shared" si="62"/>
        <v>0</v>
      </c>
      <c r="EJ78" s="3">
        <f t="shared" si="62"/>
        <v>0</v>
      </c>
      <c r="EK78" s="3">
        <f t="shared" si="62"/>
        <v>0</v>
      </c>
      <c r="EL78" s="3">
        <f t="shared" si="62"/>
        <v>0</v>
      </c>
      <c r="EM78" s="3">
        <f t="shared" ref="EM78:FR78" si="63">EM205</f>
        <v>0</v>
      </c>
      <c r="EN78" s="3">
        <f t="shared" si="63"/>
        <v>0</v>
      </c>
      <c r="EO78" s="3">
        <f t="shared" si="63"/>
        <v>0</v>
      </c>
      <c r="EP78" s="3">
        <f t="shared" si="63"/>
        <v>0</v>
      </c>
      <c r="EQ78" s="3">
        <f t="shared" si="63"/>
        <v>0</v>
      </c>
      <c r="ER78" s="3">
        <f t="shared" si="63"/>
        <v>0</v>
      </c>
      <c r="ES78" s="3">
        <f t="shared" si="63"/>
        <v>0</v>
      </c>
      <c r="ET78" s="3">
        <f t="shared" si="63"/>
        <v>0</v>
      </c>
      <c r="EU78" s="3">
        <f t="shared" si="63"/>
        <v>0</v>
      </c>
      <c r="EV78" s="3">
        <f t="shared" si="63"/>
        <v>0</v>
      </c>
      <c r="EW78" s="3">
        <f t="shared" si="63"/>
        <v>0</v>
      </c>
      <c r="EX78" s="3">
        <f t="shared" si="63"/>
        <v>0</v>
      </c>
      <c r="EY78" s="3">
        <f t="shared" si="63"/>
        <v>0</v>
      </c>
      <c r="EZ78" s="3">
        <f t="shared" si="63"/>
        <v>0</v>
      </c>
      <c r="FA78" s="3">
        <f t="shared" si="63"/>
        <v>0</v>
      </c>
      <c r="FB78" s="3">
        <f t="shared" si="63"/>
        <v>0</v>
      </c>
      <c r="FC78" s="3">
        <f t="shared" si="63"/>
        <v>0</v>
      </c>
      <c r="FD78" s="3">
        <f t="shared" si="63"/>
        <v>0</v>
      </c>
      <c r="FE78" s="3">
        <f t="shared" si="63"/>
        <v>0</v>
      </c>
      <c r="FF78" s="3">
        <f t="shared" si="63"/>
        <v>0</v>
      </c>
      <c r="FG78" s="3">
        <f t="shared" si="63"/>
        <v>0</v>
      </c>
      <c r="FH78" s="3">
        <f t="shared" si="63"/>
        <v>0</v>
      </c>
      <c r="FI78" s="3">
        <f t="shared" si="63"/>
        <v>0</v>
      </c>
      <c r="FJ78" s="3">
        <f t="shared" si="63"/>
        <v>0</v>
      </c>
      <c r="FK78" s="3">
        <f t="shared" si="63"/>
        <v>0</v>
      </c>
      <c r="FL78" s="3">
        <f t="shared" si="63"/>
        <v>0</v>
      </c>
      <c r="FM78" s="3">
        <f t="shared" si="63"/>
        <v>0</v>
      </c>
      <c r="FN78" s="3">
        <f t="shared" si="63"/>
        <v>0</v>
      </c>
      <c r="FO78" s="3">
        <f t="shared" si="63"/>
        <v>0</v>
      </c>
      <c r="FP78" s="3">
        <f t="shared" si="63"/>
        <v>0</v>
      </c>
      <c r="FQ78" s="3">
        <f t="shared" si="63"/>
        <v>0</v>
      </c>
      <c r="FR78" s="3">
        <f t="shared" si="63"/>
        <v>0</v>
      </c>
      <c r="FS78" s="3">
        <f t="shared" ref="FS78:GX78" si="64">FS205</f>
        <v>0</v>
      </c>
      <c r="FT78" s="3">
        <f t="shared" si="64"/>
        <v>0</v>
      </c>
      <c r="FU78" s="3">
        <f t="shared" si="64"/>
        <v>0</v>
      </c>
      <c r="FV78" s="3">
        <f t="shared" si="64"/>
        <v>0</v>
      </c>
      <c r="FW78" s="3">
        <f t="shared" si="64"/>
        <v>0</v>
      </c>
      <c r="FX78" s="3">
        <f t="shared" si="64"/>
        <v>0</v>
      </c>
      <c r="FY78" s="3">
        <f t="shared" si="64"/>
        <v>0</v>
      </c>
      <c r="FZ78" s="3">
        <f t="shared" si="64"/>
        <v>0</v>
      </c>
      <c r="GA78" s="3">
        <f t="shared" si="64"/>
        <v>0</v>
      </c>
      <c r="GB78" s="3">
        <f t="shared" si="64"/>
        <v>0</v>
      </c>
      <c r="GC78" s="3">
        <f t="shared" si="64"/>
        <v>0</v>
      </c>
      <c r="GD78" s="3">
        <f t="shared" si="64"/>
        <v>0</v>
      </c>
      <c r="GE78" s="3">
        <f t="shared" si="64"/>
        <v>0</v>
      </c>
      <c r="GF78" s="3">
        <f t="shared" si="64"/>
        <v>0</v>
      </c>
      <c r="GG78" s="3">
        <f t="shared" si="64"/>
        <v>0</v>
      </c>
      <c r="GH78" s="3">
        <f t="shared" si="64"/>
        <v>0</v>
      </c>
      <c r="GI78" s="3">
        <f t="shared" si="64"/>
        <v>0</v>
      </c>
      <c r="GJ78" s="3">
        <f t="shared" si="64"/>
        <v>0</v>
      </c>
      <c r="GK78" s="3">
        <f t="shared" si="64"/>
        <v>0</v>
      </c>
      <c r="GL78" s="3">
        <f t="shared" si="64"/>
        <v>0</v>
      </c>
      <c r="GM78" s="3">
        <f t="shared" si="64"/>
        <v>0</v>
      </c>
      <c r="GN78" s="3">
        <f t="shared" si="64"/>
        <v>0</v>
      </c>
      <c r="GO78" s="3">
        <f t="shared" si="64"/>
        <v>0</v>
      </c>
      <c r="GP78" s="3">
        <f t="shared" si="64"/>
        <v>0</v>
      </c>
      <c r="GQ78" s="3">
        <f t="shared" si="64"/>
        <v>0</v>
      </c>
      <c r="GR78" s="3">
        <f t="shared" si="64"/>
        <v>0</v>
      </c>
      <c r="GS78" s="3">
        <f t="shared" si="64"/>
        <v>0</v>
      </c>
      <c r="GT78" s="3">
        <f t="shared" si="64"/>
        <v>0</v>
      </c>
      <c r="GU78" s="3">
        <f t="shared" si="64"/>
        <v>0</v>
      </c>
      <c r="GV78" s="3">
        <f t="shared" si="64"/>
        <v>0</v>
      </c>
      <c r="GW78" s="3">
        <f t="shared" si="64"/>
        <v>0</v>
      </c>
      <c r="GX78" s="3">
        <f t="shared" si="64"/>
        <v>0</v>
      </c>
    </row>
    <row r="80" spans="1:245" x14ac:dyDescent="0.2">
      <c r="A80">
        <v>17</v>
      </c>
      <c r="B80">
        <v>1</v>
      </c>
      <c r="C80">
        <f>ROW(SmtRes!A47)</f>
        <v>47</v>
      </c>
      <c r="D80">
        <f>ROW(EtalonRes!A47)</f>
        <v>47</v>
      </c>
      <c r="E80" t="s">
        <v>3</v>
      </c>
      <c r="F80" t="s">
        <v>34</v>
      </c>
      <c r="G80" t="s">
        <v>150</v>
      </c>
      <c r="H80" t="s">
        <v>36</v>
      </c>
      <c r="I80">
        <f>ROUND(311/100,9)</f>
        <v>3.11</v>
      </c>
      <c r="J80">
        <v>0</v>
      </c>
      <c r="K80">
        <f>ROUND(311/100,9)</f>
        <v>3.11</v>
      </c>
      <c r="O80">
        <f t="shared" ref="O80:O96" si="65">ROUND(CP80,2)</f>
        <v>166307.51</v>
      </c>
      <c r="P80">
        <f t="shared" ref="P80:P96" si="66">ROUND(CQ80*I80,2)</f>
        <v>7603.94</v>
      </c>
      <c r="Q80">
        <f t="shared" ref="Q80:Q96" si="67">ROUND(CR80*I80,2)</f>
        <v>127546.21</v>
      </c>
      <c r="R80">
        <f t="shared" ref="R80:R96" si="68">ROUND(CS80*I80,2)</f>
        <v>26669.95</v>
      </c>
      <c r="S80">
        <f t="shared" ref="S80:S96" si="69">ROUND(CT80*I80,2)</f>
        <v>31157.360000000001</v>
      </c>
      <c r="T80">
        <f t="shared" ref="T80:T96" si="70">ROUND(CU80*I80,2)</f>
        <v>0</v>
      </c>
      <c r="U80">
        <f t="shared" ref="U80:U96" si="71">CV80*I80</f>
        <v>110.8404</v>
      </c>
      <c r="V80">
        <f t="shared" ref="V80:V96" si="72">CW80*I80</f>
        <v>67.39370000000001</v>
      </c>
      <c r="W80">
        <f t="shared" ref="W80:W96" si="73">ROUND(CX80*I80,2)</f>
        <v>0</v>
      </c>
      <c r="X80">
        <f t="shared" ref="X80:X96" si="74">ROUND(CY80,2)</f>
        <v>53779.4</v>
      </c>
      <c r="Y80">
        <f t="shared" ref="Y80:Y96" si="75">ROUND(CZ80,2)</f>
        <v>35852.93</v>
      </c>
      <c r="AA80">
        <v>-1</v>
      </c>
      <c r="AB80">
        <f t="shared" ref="AB80:AB96" si="76">ROUND((AC80+AD80+AF80),2)</f>
        <v>3978.49</v>
      </c>
      <c r="AC80">
        <f t="shared" ref="AC80:AC96" si="77">ROUND((ES80),2)</f>
        <v>236.46</v>
      </c>
      <c r="AD80">
        <f t="shared" ref="AD80:AD96" si="78">ROUND((((ET80)-(EU80))+AE80),2)</f>
        <v>3457.98</v>
      </c>
      <c r="AE80">
        <f t="shared" ref="AE80:AE96" si="79">ROUND((EU80),2)</f>
        <v>243.14</v>
      </c>
      <c r="AF80">
        <f t="shared" ref="AF80:AF96" si="80">ROUND((EV80),2)</f>
        <v>284.05</v>
      </c>
      <c r="AG80">
        <f t="shared" ref="AG80:AG96" si="81">ROUND((AP80),2)</f>
        <v>0</v>
      </c>
      <c r="AH80">
        <f t="shared" ref="AH80:AH96" si="82">(EW80)</f>
        <v>35.64</v>
      </c>
      <c r="AI80">
        <f t="shared" ref="AI80:AI96" si="83">(EX80)</f>
        <v>21.67</v>
      </c>
      <c r="AJ80">
        <f t="shared" ref="AJ80:AJ96" si="84">(AS80)</f>
        <v>0</v>
      </c>
      <c r="AK80">
        <v>3978.49</v>
      </c>
      <c r="AL80">
        <v>236.46</v>
      </c>
      <c r="AM80">
        <v>3457.98</v>
      </c>
      <c r="AN80">
        <v>243.14</v>
      </c>
      <c r="AO80">
        <v>284.05</v>
      </c>
      <c r="AP80">
        <v>0</v>
      </c>
      <c r="AQ80">
        <v>35.64</v>
      </c>
      <c r="AR80">
        <v>21.67</v>
      </c>
      <c r="AS80">
        <v>0</v>
      </c>
      <c r="AT80">
        <v>93</v>
      </c>
      <c r="AU80">
        <v>62</v>
      </c>
      <c r="AV80">
        <v>1</v>
      </c>
      <c r="AW80">
        <v>1</v>
      </c>
      <c r="AZ80">
        <v>1</v>
      </c>
      <c r="BA80">
        <v>35.270000000000003</v>
      </c>
      <c r="BB80">
        <v>11.86</v>
      </c>
      <c r="BC80">
        <v>10.34</v>
      </c>
      <c r="BD80" t="s">
        <v>3</v>
      </c>
      <c r="BE80" t="s">
        <v>3</v>
      </c>
      <c r="BF80" t="s">
        <v>3</v>
      </c>
      <c r="BG80" t="s">
        <v>3</v>
      </c>
      <c r="BH80">
        <v>0</v>
      </c>
      <c r="BI80">
        <v>1</v>
      </c>
      <c r="BJ80" t="s">
        <v>37</v>
      </c>
      <c r="BM80">
        <v>9001</v>
      </c>
      <c r="BN80">
        <v>0</v>
      </c>
      <c r="BO80" t="s">
        <v>34</v>
      </c>
      <c r="BP80">
        <v>1</v>
      </c>
      <c r="BQ80">
        <v>2</v>
      </c>
      <c r="BR80">
        <v>0</v>
      </c>
      <c r="BS80">
        <v>35.270000000000003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93</v>
      </c>
      <c r="CA80">
        <v>62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ref="CP80:CP96" si="85">(P80+Q80+S80)</f>
        <v>166307.51</v>
      </c>
      <c r="CQ80">
        <f t="shared" ref="CQ80:CQ96" si="86">AC80*BC80</f>
        <v>2444.9964</v>
      </c>
      <c r="CR80">
        <f t="shared" ref="CR80:CR96" si="87">(((ET80)*BB80-(EU80)*BS80)+AE80*BS80)</f>
        <v>41011.642800000001</v>
      </c>
      <c r="CS80">
        <f t="shared" ref="CS80:CS96" si="88">AE80*BS80</f>
        <v>8575.5478000000003</v>
      </c>
      <c r="CT80">
        <f t="shared" ref="CT80:CT96" si="89">AF80*BA80</f>
        <v>10018.443500000001</v>
      </c>
      <c r="CU80">
        <f t="shared" ref="CU80:CU96" si="90">AG80</f>
        <v>0</v>
      </c>
      <c r="CV80">
        <f t="shared" ref="CV80:CV96" si="91">AH80</f>
        <v>35.64</v>
      </c>
      <c r="CW80">
        <f t="shared" ref="CW80:CW96" si="92">AI80</f>
        <v>21.67</v>
      </c>
      <c r="CX80">
        <f t="shared" ref="CX80:CX96" si="93">AJ80</f>
        <v>0</v>
      </c>
      <c r="CY80">
        <f>(((S80+R80)*AT80)/100)</f>
        <v>53779.398300000001</v>
      </c>
      <c r="CZ80">
        <f>(((S80+R80)*AU80)/100)</f>
        <v>35852.932199999996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1013</v>
      </c>
      <c r="DV80" t="s">
        <v>36</v>
      </c>
      <c r="DW80" t="s">
        <v>36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92109398</v>
      </c>
      <c r="EF80">
        <v>2</v>
      </c>
      <c r="EG80" t="s">
        <v>21</v>
      </c>
      <c r="EH80">
        <v>9</v>
      </c>
      <c r="EI80" t="s">
        <v>40</v>
      </c>
      <c r="EJ80">
        <v>1</v>
      </c>
      <c r="EK80">
        <v>9001</v>
      </c>
      <c r="EL80" t="s">
        <v>40</v>
      </c>
      <c r="EM80" t="s">
        <v>41</v>
      </c>
      <c r="EO80" t="s">
        <v>3</v>
      </c>
      <c r="EQ80">
        <v>1024</v>
      </c>
      <c r="ER80">
        <v>3978.49</v>
      </c>
      <c r="ES80">
        <v>236.46</v>
      </c>
      <c r="ET80">
        <v>3457.98</v>
      </c>
      <c r="EU80">
        <v>243.14</v>
      </c>
      <c r="EV80">
        <v>284.05</v>
      </c>
      <c r="EW80">
        <v>35.64</v>
      </c>
      <c r="EX80">
        <v>21.67</v>
      </c>
      <c r="EY80">
        <v>0</v>
      </c>
      <c r="FQ80">
        <v>0</v>
      </c>
      <c r="FR80">
        <f t="shared" ref="FR80:FR96" si="94">ROUND(IF(BI80=3,GM80,0),2)</f>
        <v>0</v>
      </c>
      <c r="FS80">
        <v>0</v>
      </c>
      <c r="FX80">
        <v>93</v>
      </c>
      <c r="FY80">
        <v>62</v>
      </c>
      <c r="GA80" t="s">
        <v>3</v>
      </c>
      <c r="GD80">
        <v>1</v>
      </c>
      <c r="GF80">
        <v>1857194683</v>
      </c>
      <c r="GG80">
        <v>2</v>
      </c>
      <c r="GH80">
        <v>1</v>
      </c>
      <c r="GI80">
        <v>2</v>
      </c>
      <c r="GJ80">
        <v>0</v>
      </c>
      <c r="GK80">
        <v>0</v>
      </c>
      <c r="GL80">
        <f t="shared" ref="GL80:GL96" si="95">ROUND(IF(AND(BH80=3,BI80=3,FS80&lt;&gt;0),P80,0),2)</f>
        <v>0</v>
      </c>
      <c r="GM80">
        <f t="shared" ref="GM80:GM96" si="96">ROUND(O80+X80+Y80,2)+GX80</f>
        <v>255939.84</v>
      </c>
      <c r="GN80">
        <f t="shared" ref="GN80:GN96" si="97">IF(OR(BI80=0,BI80=1),GM80-GX80,0)</f>
        <v>255939.84</v>
      </c>
      <c r="GO80">
        <f t="shared" ref="GO80:GO96" si="98">IF(BI80=2,GM80-GX80,0)</f>
        <v>0</v>
      </c>
      <c r="GP80">
        <f t="shared" ref="GP80:GP96" si="99">IF(BI80=4,GM80-GX80,0)</f>
        <v>0</v>
      </c>
      <c r="GR80">
        <v>0</v>
      </c>
      <c r="GS80">
        <v>3</v>
      </c>
      <c r="GT80">
        <v>0</v>
      </c>
      <c r="GU80" t="s">
        <v>3</v>
      </c>
      <c r="GV80">
        <f t="shared" ref="GV80:GV96" si="100">ROUND((GT80),2)</f>
        <v>0</v>
      </c>
      <c r="GW80">
        <v>1</v>
      </c>
      <c r="GX80">
        <f t="shared" ref="GX80:GX96" si="101">ROUND(HC80*I80,2)</f>
        <v>0</v>
      </c>
      <c r="HA80">
        <v>0</v>
      </c>
      <c r="HB80">
        <v>0</v>
      </c>
      <c r="HC80">
        <f t="shared" ref="HC80:HC96" si="102">GV80*GW80</f>
        <v>0</v>
      </c>
      <c r="HE80" t="s">
        <v>3</v>
      </c>
      <c r="HF80" t="s">
        <v>3</v>
      </c>
      <c r="HM80" t="s">
        <v>3</v>
      </c>
      <c r="HN80" t="s">
        <v>42</v>
      </c>
      <c r="HO80" t="s">
        <v>43</v>
      </c>
      <c r="HP80" t="s">
        <v>40</v>
      </c>
      <c r="HQ80" t="s">
        <v>40</v>
      </c>
      <c r="IK80">
        <v>0</v>
      </c>
    </row>
    <row r="81" spans="1:245" x14ac:dyDescent="0.2">
      <c r="A81">
        <v>18</v>
      </c>
      <c r="B81">
        <v>1</v>
      </c>
      <c r="C81">
        <v>46</v>
      </c>
      <c r="E81" t="s">
        <v>3</v>
      </c>
      <c r="F81" t="s">
        <v>45</v>
      </c>
      <c r="G81" t="s">
        <v>46</v>
      </c>
      <c r="H81" t="s">
        <v>47</v>
      </c>
      <c r="I81">
        <f>I80*J81</f>
        <v>311</v>
      </c>
      <c r="J81">
        <v>100</v>
      </c>
      <c r="K81">
        <v>100</v>
      </c>
      <c r="O81">
        <f t="shared" si="65"/>
        <v>0</v>
      </c>
      <c r="P81">
        <f t="shared" si="66"/>
        <v>0</v>
      </c>
      <c r="Q81">
        <f t="shared" si="67"/>
        <v>0</v>
      </c>
      <c r="R81">
        <f t="shared" si="68"/>
        <v>0</v>
      </c>
      <c r="S81">
        <f t="shared" si="69"/>
        <v>0</v>
      </c>
      <c r="T81">
        <f t="shared" si="70"/>
        <v>0</v>
      </c>
      <c r="U81">
        <f t="shared" si="71"/>
        <v>0</v>
      </c>
      <c r="V81">
        <f t="shared" si="72"/>
        <v>0</v>
      </c>
      <c r="W81">
        <f t="shared" si="73"/>
        <v>0</v>
      </c>
      <c r="X81">
        <f t="shared" si="74"/>
        <v>0</v>
      </c>
      <c r="Y81">
        <f t="shared" si="75"/>
        <v>0</v>
      </c>
      <c r="AA81">
        <v>-1</v>
      </c>
      <c r="AB81">
        <f t="shared" si="76"/>
        <v>0</v>
      </c>
      <c r="AC81">
        <f t="shared" si="77"/>
        <v>0</v>
      </c>
      <c r="AD81">
        <f t="shared" si="78"/>
        <v>0</v>
      </c>
      <c r="AE81">
        <f t="shared" si="79"/>
        <v>0</v>
      </c>
      <c r="AF81">
        <f t="shared" si="80"/>
        <v>0</v>
      </c>
      <c r="AG81">
        <f t="shared" si="81"/>
        <v>0</v>
      </c>
      <c r="AH81">
        <f t="shared" si="82"/>
        <v>0</v>
      </c>
      <c r="AI81">
        <f t="shared" si="83"/>
        <v>0</v>
      </c>
      <c r="AJ81">
        <f t="shared" si="84"/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93</v>
      </c>
      <c r="AU81">
        <v>62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48</v>
      </c>
      <c r="BM81">
        <v>9001</v>
      </c>
      <c r="BN81">
        <v>0</v>
      </c>
      <c r="BO81" t="s">
        <v>3</v>
      </c>
      <c r="BP81">
        <v>0</v>
      </c>
      <c r="BQ81">
        <v>2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93</v>
      </c>
      <c r="CA81">
        <v>62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85"/>
        <v>0</v>
      </c>
      <c r="CQ81">
        <f t="shared" si="86"/>
        <v>0</v>
      </c>
      <c r="CR81">
        <f t="shared" si="87"/>
        <v>0</v>
      </c>
      <c r="CS81">
        <f t="shared" si="88"/>
        <v>0</v>
      </c>
      <c r="CT81">
        <f t="shared" si="89"/>
        <v>0</v>
      </c>
      <c r="CU81">
        <f t="shared" si="90"/>
        <v>0</v>
      </c>
      <c r="CV81">
        <f t="shared" si="91"/>
        <v>0</v>
      </c>
      <c r="CW81">
        <f t="shared" si="92"/>
        <v>0</v>
      </c>
      <c r="CX81">
        <f t="shared" si="93"/>
        <v>0</v>
      </c>
      <c r="CY81">
        <f>(((S81+R81)*AT81)/100)</f>
        <v>0</v>
      </c>
      <c r="CZ81">
        <f>(((S81+R81)*AU81)/100)</f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1010</v>
      </c>
      <c r="DV81" t="s">
        <v>47</v>
      </c>
      <c r="DW81" t="s">
        <v>47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92109398</v>
      </c>
      <c r="EF81">
        <v>2</v>
      </c>
      <c r="EG81" t="s">
        <v>21</v>
      </c>
      <c r="EH81">
        <v>9</v>
      </c>
      <c r="EI81" t="s">
        <v>40</v>
      </c>
      <c r="EJ81">
        <v>1</v>
      </c>
      <c r="EK81">
        <v>9001</v>
      </c>
      <c r="EL81" t="s">
        <v>40</v>
      </c>
      <c r="EM81" t="s">
        <v>41</v>
      </c>
      <c r="EO81" t="s">
        <v>3</v>
      </c>
      <c r="EQ81">
        <v>1024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FQ81">
        <v>0</v>
      </c>
      <c r="FR81">
        <f t="shared" si="94"/>
        <v>0</v>
      </c>
      <c r="FS81">
        <v>0</v>
      </c>
      <c r="FX81">
        <v>93</v>
      </c>
      <c r="FY81">
        <v>62</v>
      </c>
      <c r="GA81" t="s">
        <v>3</v>
      </c>
      <c r="GD81">
        <v>1</v>
      </c>
      <c r="GF81">
        <v>-138700279</v>
      </c>
      <c r="GG81">
        <v>2</v>
      </c>
      <c r="GH81">
        <v>1</v>
      </c>
      <c r="GI81">
        <v>-2</v>
      </c>
      <c r="GJ81">
        <v>0</v>
      </c>
      <c r="GK81">
        <v>0</v>
      </c>
      <c r="GL81">
        <f t="shared" si="95"/>
        <v>0</v>
      </c>
      <c r="GM81">
        <f t="shared" si="96"/>
        <v>0</v>
      </c>
      <c r="GN81">
        <f t="shared" si="97"/>
        <v>0</v>
      </c>
      <c r="GO81">
        <f t="shared" si="98"/>
        <v>0</v>
      </c>
      <c r="GP81">
        <f t="shared" si="99"/>
        <v>0</v>
      </c>
      <c r="GR81">
        <v>0</v>
      </c>
      <c r="GS81">
        <v>3</v>
      </c>
      <c r="GT81">
        <v>0</v>
      </c>
      <c r="GU81" t="s">
        <v>3</v>
      </c>
      <c r="GV81">
        <f t="shared" si="100"/>
        <v>0</v>
      </c>
      <c r="GW81">
        <v>1</v>
      </c>
      <c r="GX81">
        <f t="shared" si="101"/>
        <v>0</v>
      </c>
      <c r="HA81">
        <v>0</v>
      </c>
      <c r="HB81">
        <v>0</v>
      </c>
      <c r="HC81">
        <f t="shared" si="102"/>
        <v>0</v>
      </c>
      <c r="HE81" t="s">
        <v>3</v>
      </c>
      <c r="HF81" t="s">
        <v>3</v>
      </c>
      <c r="HM81" t="s">
        <v>3</v>
      </c>
      <c r="HN81" t="s">
        <v>42</v>
      </c>
      <c r="HO81" t="s">
        <v>43</v>
      </c>
      <c r="HP81" t="s">
        <v>40</v>
      </c>
      <c r="HQ81" t="s">
        <v>40</v>
      </c>
      <c r="IK81">
        <v>0</v>
      </c>
    </row>
    <row r="82" spans="1:245" x14ac:dyDescent="0.2">
      <c r="A82">
        <v>18</v>
      </c>
      <c r="B82">
        <v>1</v>
      </c>
      <c r="C82">
        <v>47</v>
      </c>
      <c r="E82" t="s">
        <v>3</v>
      </c>
      <c r="F82" t="s">
        <v>50</v>
      </c>
      <c r="G82" t="s">
        <v>51</v>
      </c>
      <c r="H82" t="s">
        <v>52</v>
      </c>
      <c r="I82">
        <f>I80*J82</f>
        <v>19.717400000000001</v>
      </c>
      <c r="J82">
        <v>6.3400000000000007</v>
      </c>
      <c r="K82">
        <v>6.34</v>
      </c>
      <c r="O82">
        <f t="shared" si="65"/>
        <v>0</v>
      </c>
      <c r="P82">
        <f t="shared" si="66"/>
        <v>0</v>
      </c>
      <c r="Q82">
        <f t="shared" si="67"/>
        <v>0</v>
      </c>
      <c r="R82">
        <f t="shared" si="68"/>
        <v>0</v>
      </c>
      <c r="S82">
        <f t="shared" si="69"/>
        <v>0</v>
      </c>
      <c r="T82">
        <f t="shared" si="70"/>
        <v>0</v>
      </c>
      <c r="U82">
        <f t="shared" si="71"/>
        <v>0</v>
      </c>
      <c r="V82">
        <f t="shared" si="72"/>
        <v>0</v>
      </c>
      <c r="W82">
        <f t="shared" si="73"/>
        <v>0</v>
      </c>
      <c r="X82">
        <f t="shared" si="74"/>
        <v>0</v>
      </c>
      <c r="Y82">
        <f t="shared" si="75"/>
        <v>0</v>
      </c>
      <c r="AA82">
        <v>-1</v>
      </c>
      <c r="AB82">
        <f t="shared" si="76"/>
        <v>0</v>
      </c>
      <c r="AC82">
        <f t="shared" si="77"/>
        <v>0</v>
      </c>
      <c r="AD82">
        <f t="shared" si="78"/>
        <v>0</v>
      </c>
      <c r="AE82">
        <f t="shared" si="79"/>
        <v>0</v>
      </c>
      <c r="AF82">
        <f t="shared" si="80"/>
        <v>0</v>
      </c>
      <c r="AG82">
        <f t="shared" si="81"/>
        <v>0</v>
      </c>
      <c r="AH82">
        <f t="shared" si="82"/>
        <v>0</v>
      </c>
      <c r="AI82">
        <f t="shared" si="83"/>
        <v>0</v>
      </c>
      <c r="AJ82">
        <f t="shared" si="84"/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93</v>
      </c>
      <c r="AU82">
        <v>62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1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53</v>
      </c>
      <c r="BM82">
        <v>9001</v>
      </c>
      <c r="BN82">
        <v>0</v>
      </c>
      <c r="BO82" t="s">
        <v>3</v>
      </c>
      <c r="BP82">
        <v>0</v>
      </c>
      <c r="BQ82">
        <v>2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93</v>
      </c>
      <c r="CA82">
        <v>62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85"/>
        <v>0</v>
      </c>
      <c r="CQ82">
        <f t="shared" si="86"/>
        <v>0</v>
      </c>
      <c r="CR82">
        <f t="shared" si="87"/>
        <v>0</v>
      </c>
      <c r="CS82">
        <f t="shared" si="88"/>
        <v>0</v>
      </c>
      <c r="CT82">
        <f t="shared" si="89"/>
        <v>0</v>
      </c>
      <c r="CU82">
        <f t="shared" si="90"/>
        <v>0</v>
      </c>
      <c r="CV82">
        <f t="shared" si="91"/>
        <v>0</v>
      </c>
      <c r="CW82">
        <f t="shared" si="92"/>
        <v>0</v>
      </c>
      <c r="CX82">
        <f t="shared" si="93"/>
        <v>0</v>
      </c>
      <c r="CY82">
        <f>(((S82+R82)*AT82)/100)</f>
        <v>0</v>
      </c>
      <c r="CZ82">
        <f>(((S82+R82)*AU82)/100)</f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1007</v>
      </c>
      <c r="DV82" t="s">
        <v>52</v>
      </c>
      <c r="DW82" t="s">
        <v>52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92109398</v>
      </c>
      <c r="EF82">
        <v>2</v>
      </c>
      <c r="EG82" t="s">
        <v>21</v>
      </c>
      <c r="EH82">
        <v>9</v>
      </c>
      <c r="EI82" t="s">
        <v>40</v>
      </c>
      <c r="EJ82">
        <v>1</v>
      </c>
      <c r="EK82">
        <v>9001</v>
      </c>
      <c r="EL82" t="s">
        <v>40</v>
      </c>
      <c r="EM82" t="s">
        <v>41</v>
      </c>
      <c r="EO82" t="s">
        <v>3</v>
      </c>
      <c r="EQ82">
        <v>1024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FQ82">
        <v>0</v>
      </c>
      <c r="FR82">
        <f t="shared" si="94"/>
        <v>0</v>
      </c>
      <c r="FS82">
        <v>0</v>
      </c>
      <c r="FX82">
        <v>93</v>
      </c>
      <c r="FY82">
        <v>62</v>
      </c>
      <c r="GA82" t="s">
        <v>3</v>
      </c>
      <c r="GD82">
        <v>1</v>
      </c>
      <c r="GF82">
        <v>-255290429</v>
      </c>
      <c r="GG82">
        <v>2</v>
      </c>
      <c r="GH82">
        <v>1</v>
      </c>
      <c r="GI82">
        <v>-2</v>
      </c>
      <c r="GJ82">
        <v>0</v>
      </c>
      <c r="GK82">
        <v>0</v>
      </c>
      <c r="GL82">
        <f t="shared" si="95"/>
        <v>0</v>
      </c>
      <c r="GM82">
        <f t="shared" si="96"/>
        <v>0</v>
      </c>
      <c r="GN82">
        <f t="shared" si="97"/>
        <v>0</v>
      </c>
      <c r="GO82">
        <f t="shared" si="98"/>
        <v>0</v>
      </c>
      <c r="GP82">
        <f t="shared" si="99"/>
        <v>0</v>
      </c>
      <c r="GR82">
        <v>0</v>
      </c>
      <c r="GS82">
        <v>3</v>
      </c>
      <c r="GT82">
        <v>0</v>
      </c>
      <c r="GU82" t="s">
        <v>3</v>
      </c>
      <c r="GV82">
        <f t="shared" si="100"/>
        <v>0</v>
      </c>
      <c r="GW82">
        <v>1</v>
      </c>
      <c r="GX82">
        <f t="shared" si="101"/>
        <v>0</v>
      </c>
      <c r="HA82">
        <v>0</v>
      </c>
      <c r="HB82">
        <v>0</v>
      </c>
      <c r="HC82">
        <f t="shared" si="102"/>
        <v>0</v>
      </c>
      <c r="HE82" t="s">
        <v>3</v>
      </c>
      <c r="HF82" t="s">
        <v>3</v>
      </c>
      <c r="HM82" t="s">
        <v>3</v>
      </c>
      <c r="HN82" t="s">
        <v>42</v>
      </c>
      <c r="HO82" t="s">
        <v>43</v>
      </c>
      <c r="HP82" t="s">
        <v>40</v>
      </c>
      <c r="HQ82" t="s">
        <v>40</v>
      </c>
      <c r="IK82">
        <v>0</v>
      </c>
    </row>
    <row r="83" spans="1:245" x14ac:dyDescent="0.2">
      <c r="A83">
        <v>17</v>
      </c>
      <c r="B83">
        <v>1</v>
      </c>
      <c r="E83" t="s">
        <v>3</v>
      </c>
      <c r="F83" t="s">
        <v>151</v>
      </c>
      <c r="G83" t="s">
        <v>152</v>
      </c>
      <c r="H83" t="s">
        <v>52</v>
      </c>
      <c r="I83">
        <v>6.14</v>
      </c>
      <c r="J83">
        <v>0</v>
      </c>
      <c r="K83">
        <v>6.14</v>
      </c>
      <c r="O83">
        <f t="shared" si="65"/>
        <v>45330.15</v>
      </c>
      <c r="P83">
        <f t="shared" si="66"/>
        <v>45330.15</v>
      </c>
      <c r="Q83">
        <f t="shared" si="67"/>
        <v>0</v>
      </c>
      <c r="R83">
        <f t="shared" si="68"/>
        <v>0</v>
      </c>
      <c r="S83">
        <f t="shared" si="69"/>
        <v>0</v>
      </c>
      <c r="T83">
        <f t="shared" si="70"/>
        <v>0</v>
      </c>
      <c r="U83">
        <f t="shared" si="71"/>
        <v>0</v>
      </c>
      <c r="V83">
        <f t="shared" si="72"/>
        <v>0</v>
      </c>
      <c r="W83">
        <f t="shared" si="73"/>
        <v>0</v>
      </c>
      <c r="X83">
        <f t="shared" si="74"/>
        <v>0</v>
      </c>
      <c r="Y83">
        <f t="shared" si="75"/>
        <v>0</v>
      </c>
      <c r="AA83">
        <v>-1</v>
      </c>
      <c r="AB83">
        <f t="shared" si="76"/>
        <v>658</v>
      </c>
      <c r="AC83">
        <f t="shared" si="77"/>
        <v>658</v>
      </c>
      <c r="AD83">
        <f t="shared" si="78"/>
        <v>0</v>
      </c>
      <c r="AE83">
        <f t="shared" si="79"/>
        <v>0</v>
      </c>
      <c r="AF83">
        <f t="shared" si="80"/>
        <v>0</v>
      </c>
      <c r="AG83">
        <f t="shared" si="81"/>
        <v>0</v>
      </c>
      <c r="AH83">
        <f t="shared" si="82"/>
        <v>0</v>
      </c>
      <c r="AI83">
        <f t="shared" si="83"/>
        <v>0</v>
      </c>
      <c r="AJ83">
        <f t="shared" si="84"/>
        <v>0</v>
      </c>
      <c r="AK83">
        <v>658</v>
      </c>
      <c r="AL83">
        <v>658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11.22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153</v>
      </c>
      <c r="BM83">
        <v>500001</v>
      </c>
      <c r="BN83">
        <v>0</v>
      </c>
      <c r="BO83" t="s">
        <v>151</v>
      </c>
      <c r="BP83">
        <v>1</v>
      </c>
      <c r="BQ83">
        <v>8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0</v>
      </c>
      <c r="CA83">
        <v>0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5"/>
        <v>45330.15</v>
      </c>
      <c r="CQ83">
        <f t="shared" si="86"/>
        <v>7382.76</v>
      </c>
      <c r="CR83">
        <f t="shared" si="87"/>
        <v>0</v>
      </c>
      <c r="CS83">
        <f t="shared" si="88"/>
        <v>0</v>
      </c>
      <c r="CT83">
        <f t="shared" si="89"/>
        <v>0</v>
      </c>
      <c r="CU83">
        <f t="shared" si="90"/>
        <v>0</v>
      </c>
      <c r="CV83">
        <f t="shared" si="91"/>
        <v>0</v>
      </c>
      <c r="CW83">
        <f t="shared" si="92"/>
        <v>0</v>
      </c>
      <c r="CX83">
        <f t="shared" si="93"/>
        <v>0</v>
      </c>
      <c r="CY83">
        <f>0</f>
        <v>0</v>
      </c>
      <c r="CZ83">
        <f>0</f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1007</v>
      </c>
      <c r="DV83" t="s">
        <v>52</v>
      </c>
      <c r="DW83" t="s">
        <v>52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92109332</v>
      </c>
      <c r="EF83">
        <v>8</v>
      </c>
      <c r="EG83" t="s">
        <v>154</v>
      </c>
      <c r="EH83">
        <v>0</v>
      </c>
      <c r="EI83" t="s">
        <v>3</v>
      </c>
      <c r="EJ83">
        <v>1</v>
      </c>
      <c r="EK83">
        <v>500001</v>
      </c>
      <c r="EL83" t="s">
        <v>155</v>
      </c>
      <c r="EM83" t="s">
        <v>156</v>
      </c>
      <c r="EO83" t="s">
        <v>3</v>
      </c>
      <c r="EQ83">
        <v>1024</v>
      </c>
      <c r="ER83">
        <v>658</v>
      </c>
      <c r="ES83">
        <v>658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FQ83">
        <v>0</v>
      </c>
      <c r="FR83">
        <f t="shared" si="94"/>
        <v>0</v>
      </c>
      <c r="FS83">
        <v>0</v>
      </c>
      <c r="FX83">
        <v>0</v>
      </c>
      <c r="FY83">
        <v>0</v>
      </c>
      <c r="GA83" t="s">
        <v>3</v>
      </c>
      <c r="GD83">
        <v>1</v>
      </c>
      <c r="GF83">
        <v>1627273457</v>
      </c>
      <c r="GG83">
        <v>2</v>
      </c>
      <c r="GH83">
        <v>1</v>
      </c>
      <c r="GI83">
        <v>2</v>
      </c>
      <c r="GJ83">
        <v>0</v>
      </c>
      <c r="GK83">
        <v>0</v>
      </c>
      <c r="GL83">
        <f t="shared" si="95"/>
        <v>0</v>
      </c>
      <c r="GM83">
        <f t="shared" si="96"/>
        <v>45330.15</v>
      </c>
      <c r="GN83">
        <f t="shared" si="97"/>
        <v>45330.15</v>
      </c>
      <c r="GO83">
        <f t="shared" si="98"/>
        <v>0</v>
      </c>
      <c r="GP83">
        <f t="shared" si="99"/>
        <v>0</v>
      </c>
      <c r="GR83">
        <v>0</v>
      </c>
      <c r="GS83">
        <v>3</v>
      </c>
      <c r="GT83">
        <v>0</v>
      </c>
      <c r="GU83" t="s">
        <v>3</v>
      </c>
      <c r="GV83">
        <f t="shared" si="100"/>
        <v>0</v>
      </c>
      <c r="GW83">
        <v>1</v>
      </c>
      <c r="GX83">
        <f t="shared" si="101"/>
        <v>0</v>
      </c>
      <c r="HA83">
        <v>0</v>
      </c>
      <c r="HB83">
        <v>0</v>
      </c>
      <c r="HC83">
        <f t="shared" si="102"/>
        <v>0</v>
      </c>
      <c r="HE83" t="s">
        <v>3</v>
      </c>
      <c r="HF83" t="s">
        <v>3</v>
      </c>
      <c r="HM83" t="s">
        <v>3</v>
      </c>
      <c r="HN83" t="s">
        <v>3</v>
      </c>
      <c r="HO83" t="s">
        <v>3</v>
      </c>
      <c r="HP83" t="s">
        <v>3</v>
      </c>
      <c r="HQ83" t="s">
        <v>3</v>
      </c>
      <c r="IK83">
        <v>0</v>
      </c>
    </row>
    <row r="84" spans="1:245" x14ac:dyDescent="0.2">
      <c r="A84">
        <v>17</v>
      </c>
      <c r="B84">
        <v>1</v>
      </c>
      <c r="C84">
        <f>ROW(SmtRes!A65)</f>
        <v>65</v>
      </c>
      <c r="D84">
        <f>ROW(EtalonRes!A65)</f>
        <v>65</v>
      </c>
      <c r="E84" t="s">
        <v>3</v>
      </c>
      <c r="F84" t="s">
        <v>157</v>
      </c>
      <c r="G84" t="s">
        <v>158</v>
      </c>
      <c r="H84" t="s">
        <v>159</v>
      </c>
      <c r="I84">
        <f>ROUND(623.5/100,9)</f>
        <v>6.2350000000000003</v>
      </c>
      <c r="J84">
        <v>0</v>
      </c>
      <c r="K84">
        <f>ROUND(623.5/100,9)</f>
        <v>6.2350000000000003</v>
      </c>
      <c r="O84">
        <f t="shared" si="65"/>
        <v>382450.79</v>
      </c>
      <c r="P84">
        <f t="shared" si="66"/>
        <v>137760.25</v>
      </c>
      <c r="Q84">
        <f t="shared" si="67"/>
        <v>104103.07</v>
      </c>
      <c r="R84">
        <f t="shared" si="68"/>
        <v>23525.81</v>
      </c>
      <c r="S84">
        <f t="shared" si="69"/>
        <v>140587.47</v>
      </c>
      <c r="T84">
        <f t="shared" si="70"/>
        <v>0</v>
      </c>
      <c r="U84">
        <f t="shared" si="71"/>
        <v>487.88875000000002</v>
      </c>
      <c r="V84">
        <f t="shared" si="72"/>
        <v>57.798450000000003</v>
      </c>
      <c r="W84">
        <f t="shared" si="73"/>
        <v>0</v>
      </c>
      <c r="X84">
        <f t="shared" si="74"/>
        <v>241246.52</v>
      </c>
      <c r="Y84">
        <f t="shared" si="75"/>
        <v>219911.8</v>
      </c>
      <c r="AA84">
        <v>-1</v>
      </c>
      <c r="AB84">
        <f t="shared" si="76"/>
        <v>5469.09</v>
      </c>
      <c r="AC84">
        <f t="shared" si="77"/>
        <v>3598.48</v>
      </c>
      <c r="AD84">
        <f t="shared" si="78"/>
        <v>1231.31</v>
      </c>
      <c r="AE84">
        <f t="shared" si="79"/>
        <v>106.98</v>
      </c>
      <c r="AF84">
        <f t="shared" si="80"/>
        <v>639.29999999999995</v>
      </c>
      <c r="AG84">
        <f t="shared" si="81"/>
        <v>0</v>
      </c>
      <c r="AH84">
        <f t="shared" si="82"/>
        <v>78.25</v>
      </c>
      <c r="AI84">
        <f t="shared" si="83"/>
        <v>9.27</v>
      </c>
      <c r="AJ84">
        <f t="shared" si="84"/>
        <v>0</v>
      </c>
      <c r="AK84">
        <v>5469.09</v>
      </c>
      <c r="AL84">
        <v>3598.48</v>
      </c>
      <c r="AM84">
        <v>1231.31</v>
      </c>
      <c r="AN84">
        <v>106.98</v>
      </c>
      <c r="AO84">
        <v>639.29999999999995</v>
      </c>
      <c r="AP84">
        <v>0</v>
      </c>
      <c r="AQ84">
        <v>78.25</v>
      </c>
      <c r="AR84">
        <v>9.27</v>
      </c>
      <c r="AS84">
        <v>0</v>
      </c>
      <c r="AT84">
        <v>147</v>
      </c>
      <c r="AU84">
        <v>134</v>
      </c>
      <c r="AV84">
        <v>1</v>
      </c>
      <c r="AW84">
        <v>1</v>
      </c>
      <c r="AZ84">
        <v>1</v>
      </c>
      <c r="BA84">
        <v>35.270000000000003</v>
      </c>
      <c r="BB84">
        <v>13.56</v>
      </c>
      <c r="BC84">
        <v>6.14</v>
      </c>
      <c r="BD84" t="s">
        <v>3</v>
      </c>
      <c r="BE84" t="s">
        <v>3</v>
      </c>
      <c r="BF84" t="s">
        <v>3</v>
      </c>
      <c r="BG84" t="s">
        <v>3</v>
      </c>
      <c r="BH84">
        <v>0</v>
      </c>
      <c r="BI84">
        <v>1</v>
      </c>
      <c r="BJ84" t="s">
        <v>160</v>
      </c>
      <c r="BM84">
        <v>27001</v>
      </c>
      <c r="BN84">
        <v>0</v>
      </c>
      <c r="BO84" t="s">
        <v>157</v>
      </c>
      <c r="BP84">
        <v>1</v>
      </c>
      <c r="BQ84">
        <v>2</v>
      </c>
      <c r="BR84">
        <v>0</v>
      </c>
      <c r="BS84">
        <v>35.270000000000003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147</v>
      </c>
      <c r="CA84">
        <v>134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85"/>
        <v>382450.79000000004</v>
      </c>
      <c r="CQ84">
        <f t="shared" si="86"/>
        <v>22094.6672</v>
      </c>
      <c r="CR84">
        <f t="shared" si="87"/>
        <v>16696.563600000001</v>
      </c>
      <c r="CS84">
        <f t="shared" si="88"/>
        <v>3773.1846000000005</v>
      </c>
      <c r="CT84">
        <f t="shared" si="89"/>
        <v>22548.111000000001</v>
      </c>
      <c r="CU84">
        <f t="shared" si="90"/>
        <v>0</v>
      </c>
      <c r="CV84">
        <f t="shared" si="91"/>
        <v>78.25</v>
      </c>
      <c r="CW84">
        <f t="shared" si="92"/>
        <v>9.27</v>
      </c>
      <c r="CX84">
        <f t="shared" si="93"/>
        <v>0</v>
      </c>
      <c r="CY84">
        <f t="shared" ref="CY84:CY95" si="103">(((S84+R84)*AT84)/100)</f>
        <v>241246.52160000001</v>
      </c>
      <c r="CZ84">
        <f t="shared" ref="CZ84:CZ95" si="104">(((S84+R84)*AU84)/100)</f>
        <v>219911.79519999999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1003</v>
      </c>
      <c r="DV84" t="s">
        <v>159</v>
      </c>
      <c r="DW84" t="s">
        <v>159</v>
      </c>
      <c r="DX84">
        <v>100</v>
      </c>
      <c r="DZ84" t="s">
        <v>3</v>
      </c>
      <c r="EA84" t="s">
        <v>3</v>
      </c>
      <c r="EB84" t="s">
        <v>3</v>
      </c>
      <c r="EC84" t="s">
        <v>3</v>
      </c>
      <c r="EE84">
        <v>92109440</v>
      </c>
      <c r="EF84">
        <v>2</v>
      </c>
      <c r="EG84" t="s">
        <v>21</v>
      </c>
      <c r="EH84">
        <v>21</v>
      </c>
      <c r="EI84" t="s">
        <v>161</v>
      </c>
      <c r="EJ84">
        <v>1</v>
      </c>
      <c r="EK84">
        <v>27001</v>
      </c>
      <c r="EL84" t="s">
        <v>161</v>
      </c>
      <c r="EM84" t="s">
        <v>162</v>
      </c>
      <c r="EO84" t="s">
        <v>3</v>
      </c>
      <c r="EQ84">
        <v>1024</v>
      </c>
      <c r="ER84">
        <v>5469.09</v>
      </c>
      <c r="ES84">
        <v>3598.48</v>
      </c>
      <c r="ET84">
        <v>1231.31</v>
      </c>
      <c r="EU84">
        <v>106.98</v>
      </c>
      <c r="EV84">
        <v>639.29999999999995</v>
      </c>
      <c r="EW84">
        <v>78.25</v>
      </c>
      <c r="EX84">
        <v>9.27</v>
      </c>
      <c r="EY84">
        <v>0</v>
      </c>
      <c r="FQ84">
        <v>0</v>
      </c>
      <c r="FR84">
        <f t="shared" si="94"/>
        <v>0</v>
      </c>
      <c r="FS84">
        <v>0</v>
      </c>
      <c r="FX84">
        <v>147</v>
      </c>
      <c r="FY84">
        <v>134</v>
      </c>
      <c r="GA84" t="s">
        <v>3</v>
      </c>
      <c r="GD84">
        <v>1</v>
      </c>
      <c r="GF84">
        <v>1041316283</v>
      </c>
      <c r="GG84">
        <v>2</v>
      </c>
      <c r="GH84">
        <v>1</v>
      </c>
      <c r="GI84">
        <v>2</v>
      </c>
      <c r="GJ84">
        <v>0</v>
      </c>
      <c r="GK84">
        <v>0</v>
      </c>
      <c r="GL84">
        <f t="shared" si="95"/>
        <v>0</v>
      </c>
      <c r="GM84">
        <f t="shared" si="96"/>
        <v>843609.11</v>
      </c>
      <c r="GN84">
        <f t="shared" si="97"/>
        <v>843609.11</v>
      </c>
      <c r="GO84">
        <f t="shared" si="98"/>
        <v>0</v>
      </c>
      <c r="GP84">
        <f t="shared" si="99"/>
        <v>0</v>
      </c>
      <c r="GR84">
        <v>0</v>
      </c>
      <c r="GS84">
        <v>3</v>
      </c>
      <c r="GT84">
        <v>0</v>
      </c>
      <c r="GU84" t="s">
        <v>3</v>
      </c>
      <c r="GV84">
        <f t="shared" si="100"/>
        <v>0</v>
      </c>
      <c r="GW84">
        <v>1</v>
      </c>
      <c r="GX84">
        <f t="shared" si="101"/>
        <v>0</v>
      </c>
      <c r="HA84">
        <v>0</v>
      </c>
      <c r="HB84">
        <v>0</v>
      </c>
      <c r="HC84">
        <f t="shared" si="102"/>
        <v>0</v>
      </c>
      <c r="HE84" t="s">
        <v>3</v>
      </c>
      <c r="HF84" t="s">
        <v>3</v>
      </c>
      <c r="HM84" t="s">
        <v>3</v>
      </c>
      <c r="HN84" t="s">
        <v>163</v>
      </c>
      <c r="HO84" t="s">
        <v>164</v>
      </c>
      <c r="HP84" t="s">
        <v>161</v>
      </c>
      <c r="HQ84" t="s">
        <v>161</v>
      </c>
      <c r="IK84">
        <v>0</v>
      </c>
    </row>
    <row r="85" spans="1:245" x14ac:dyDescent="0.2">
      <c r="A85">
        <v>18</v>
      </c>
      <c r="B85">
        <v>1</v>
      </c>
      <c r="C85">
        <v>64</v>
      </c>
      <c r="E85" t="s">
        <v>3</v>
      </c>
      <c r="F85" t="s">
        <v>165</v>
      </c>
      <c r="G85" t="s">
        <v>166</v>
      </c>
      <c r="H85" t="s">
        <v>52</v>
      </c>
      <c r="I85">
        <f>I84*J85</f>
        <v>8.9784000000000006</v>
      </c>
      <c r="J85">
        <v>1.44</v>
      </c>
      <c r="K85">
        <v>1.44</v>
      </c>
      <c r="O85">
        <f t="shared" si="65"/>
        <v>0</v>
      </c>
      <c r="P85">
        <f t="shared" si="66"/>
        <v>0</v>
      </c>
      <c r="Q85">
        <f t="shared" si="67"/>
        <v>0</v>
      </c>
      <c r="R85">
        <f t="shared" si="68"/>
        <v>0</v>
      </c>
      <c r="S85">
        <f t="shared" si="69"/>
        <v>0</v>
      </c>
      <c r="T85">
        <f t="shared" si="70"/>
        <v>0</v>
      </c>
      <c r="U85">
        <f t="shared" si="71"/>
        <v>0</v>
      </c>
      <c r="V85">
        <f t="shared" si="72"/>
        <v>0</v>
      </c>
      <c r="W85">
        <f t="shared" si="73"/>
        <v>0</v>
      </c>
      <c r="X85">
        <f t="shared" si="74"/>
        <v>0</v>
      </c>
      <c r="Y85">
        <f t="shared" si="75"/>
        <v>0</v>
      </c>
      <c r="AA85">
        <v>-1</v>
      </c>
      <c r="AB85">
        <f t="shared" si="76"/>
        <v>0</v>
      </c>
      <c r="AC85">
        <f t="shared" si="77"/>
        <v>0</v>
      </c>
      <c r="AD85">
        <f t="shared" si="78"/>
        <v>0</v>
      </c>
      <c r="AE85">
        <f t="shared" si="79"/>
        <v>0</v>
      </c>
      <c r="AF85">
        <f t="shared" si="80"/>
        <v>0</v>
      </c>
      <c r="AG85">
        <f t="shared" si="81"/>
        <v>0</v>
      </c>
      <c r="AH85">
        <f t="shared" si="82"/>
        <v>0</v>
      </c>
      <c r="AI85">
        <f t="shared" si="83"/>
        <v>0</v>
      </c>
      <c r="AJ85">
        <f t="shared" si="84"/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147</v>
      </c>
      <c r="AU85">
        <v>134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1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1</v>
      </c>
      <c r="BJ85" t="s">
        <v>167</v>
      </c>
      <c r="BM85">
        <v>27001</v>
      </c>
      <c r="BN85">
        <v>0</v>
      </c>
      <c r="BO85" t="s">
        <v>3</v>
      </c>
      <c r="BP85">
        <v>0</v>
      </c>
      <c r="BQ85">
        <v>2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147</v>
      </c>
      <c r="CA85">
        <v>134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85"/>
        <v>0</v>
      </c>
      <c r="CQ85">
        <f t="shared" si="86"/>
        <v>0</v>
      </c>
      <c r="CR85">
        <f t="shared" si="87"/>
        <v>0</v>
      </c>
      <c r="CS85">
        <f t="shared" si="88"/>
        <v>0</v>
      </c>
      <c r="CT85">
        <f t="shared" si="89"/>
        <v>0</v>
      </c>
      <c r="CU85">
        <f t="shared" si="90"/>
        <v>0</v>
      </c>
      <c r="CV85">
        <f t="shared" si="91"/>
        <v>0</v>
      </c>
      <c r="CW85">
        <f t="shared" si="92"/>
        <v>0</v>
      </c>
      <c r="CX85">
        <f t="shared" si="93"/>
        <v>0</v>
      </c>
      <c r="CY85">
        <f t="shared" si="103"/>
        <v>0</v>
      </c>
      <c r="CZ85">
        <f t="shared" si="104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1007</v>
      </c>
      <c r="DV85" t="s">
        <v>52</v>
      </c>
      <c r="DW85" t="s">
        <v>52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92109440</v>
      </c>
      <c r="EF85">
        <v>2</v>
      </c>
      <c r="EG85" t="s">
        <v>21</v>
      </c>
      <c r="EH85">
        <v>21</v>
      </c>
      <c r="EI85" t="s">
        <v>161</v>
      </c>
      <c r="EJ85">
        <v>1</v>
      </c>
      <c r="EK85">
        <v>27001</v>
      </c>
      <c r="EL85" t="s">
        <v>161</v>
      </c>
      <c r="EM85" t="s">
        <v>162</v>
      </c>
      <c r="EO85" t="s">
        <v>3</v>
      </c>
      <c r="EQ85">
        <v>1024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FQ85">
        <v>0</v>
      </c>
      <c r="FR85">
        <f t="shared" si="94"/>
        <v>0</v>
      </c>
      <c r="FS85">
        <v>0</v>
      </c>
      <c r="FX85">
        <v>147</v>
      </c>
      <c r="FY85">
        <v>134</v>
      </c>
      <c r="GA85" t="s">
        <v>3</v>
      </c>
      <c r="GD85">
        <v>1</v>
      </c>
      <c r="GF85">
        <v>1301139537</v>
      </c>
      <c r="GG85">
        <v>2</v>
      </c>
      <c r="GH85">
        <v>1</v>
      </c>
      <c r="GI85">
        <v>-2</v>
      </c>
      <c r="GJ85">
        <v>0</v>
      </c>
      <c r="GK85">
        <v>0</v>
      </c>
      <c r="GL85">
        <f t="shared" si="95"/>
        <v>0</v>
      </c>
      <c r="GM85">
        <f t="shared" si="96"/>
        <v>0</v>
      </c>
      <c r="GN85">
        <f t="shared" si="97"/>
        <v>0</v>
      </c>
      <c r="GO85">
        <f t="shared" si="98"/>
        <v>0</v>
      </c>
      <c r="GP85">
        <f t="shared" si="99"/>
        <v>0</v>
      </c>
      <c r="GR85">
        <v>0</v>
      </c>
      <c r="GS85">
        <v>3</v>
      </c>
      <c r="GT85">
        <v>0</v>
      </c>
      <c r="GU85" t="s">
        <v>3</v>
      </c>
      <c r="GV85">
        <f t="shared" si="100"/>
        <v>0</v>
      </c>
      <c r="GW85">
        <v>1</v>
      </c>
      <c r="GX85">
        <f t="shared" si="101"/>
        <v>0</v>
      </c>
      <c r="HA85">
        <v>0</v>
      </c>
      <c r="HB85">
        <v>0</v>
      </c>
      <c r="HC85">
        <f t="shared" si="102"/>
        <v>0</v>
      </c>
      <c r="HE85" t="s">
        <v>3</v>
      </c>
      <c r="HF85" t="s">
        <v>3</v>
      </c>
      <c r="HM85" t="s">
        <v>3</v>
      </c>
      <c r="HN85" t="s">
        <v>163</v>
      </c>
      <c r="HO85" t="s">
        <v>164</v>
      </c>
      <c r="HP85" t="s">
        <v>161</v>
      </c>
      <c r="HQ85" t="s">
        <v>161</v>
      </c>
      <c r="IK85">
        <v>0</v>
      </c>
    </row>
    <row r="86" spans="1:245" x14ac:dyDescent="0.2">
      <c r="A86">
        <v>18</v>
      </c>
      <c r="B86">
        <v>1</v>
      </c>
      <c r="C86">
        <v>57</v>
      </c>
      <c r="E86" t="s">
        <v>3</v>
      </c>
      <c r="F86" t="s">
        <v>168</v>
      </c>
      <c r="G86" t="s">
        <v>169</v>
      </c>
      <c r="H86" t="s">
        <v>170</v>
      </c>
      <c r="I86">
        <f>I84*J86</f>
        <v>-2.5625999999999999E-2</v>
      </c>
      <c r="J86">
        <v>-4.1100240577385721E-3</v>
      </c>
      <c r="K86">
        <v>-4.1099999999999999E-3</v>
      </c>
      <c r="O86">
        <f t="shared" si="65"/>
        <v>-2923.69</v>
      </c>
      <c r="P86">
        <f t="shared" si="66"/>
        <v>-2923.69</v>
      </c>
      <c r="Q86">
        <f t="shared" si="67"/>
        <v>0</v>
      </c>
      <c r="R86">
        <f t="shared" si="68"/>
        <v>0</v>
      </c>
      <c r="S86">
        <f t="shared" si="69"/>
        <v>0</v>
      </c>
      <c r="T86">
        <f t="shared" si="70"/>
        <v>0</v>
      </c>
      <c r="U86">
        <f t="shared" si="71"/>
        <v>0</v>
      </c>
      <c r="V86">
        <f t="shared" si="72"/>
        <v>0</v>
      </c>
      <c r="W86">
        <f t="shared" si="73"/>
        <v>0</v>
      </c>
      <c r="X86">
        <f t="shared" si="74"/>
        <v>0</v>
      </c>
      <c r="Y86">
        <f t="shared" si="75"/>
        <v>0</v>
      </c>
      <c r="AA86">
        <v>-1</v>
      </c>
      <c r="AB86">
        <f t="shared" si="76"/>
        <v>22503.11</v>
      </c>
      <c r="AC86">
        <f t="shared" si="77"/>
        <v>22503.11</v>
      </c>
      <c r="AD86">
        <f t="shared" si="78"/>
        <v>0</v>
      </c>
      <c r="AE86">
        <f t="shared" si="79"/>
        <v>0</v>
      </c>
      <c r="AF86">
        <f t="shared" si="80"/>
        <v>0</v>
      </c>
      <c r="AG86">
        <f t="shared" si="81"/>
        <v>0</v>
      </c>
      <c r="AH86">
        <f t="shared" si="82"/>
        <v>0</v>
      </c>
      <c r="AI86">
        <f t="shared" si="83"/>
        <v>0</v>
      </c>
      <c r="AJ86">
        <f t="shared" si="84"/>
        <v>0</v>
      </c>
      <c r="AK86">
        <v>22503.11</v>
      </c>
      <c r="AL86">
        <v>22503.11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147</v>
      </c>
      <c r="AU86">
        <v>134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5.07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1</v>
      </c>
      <c r="BJ86" t="s">
        <v>171</v>
      </c>
      <c r="BM86">
        <v>27001</v>
      </c>
      <c r="BN86">
        <v>0</v>
      </c>
      <c r="BO86" t="s">
        <v>168</v>
      </c>
      <c r="BP86">
        <v>1</v>
      </c>
      <c r="BQ86">
        <v>2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147</v>
      </c>
      <c r="CA86">
        <v>134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85"/>
        <v>-2923.69</v>
      </c>
      <c r="CQ86">
        <f t="shared" si="86"/>
        <v>114090.76770000001</v>
      </c>
      <c r="CR86">
        <f t="shared" si="87"/>
        <v>0</v>
      </c>
      <c r="CS86">
        <f t="shared" si="88"/>
        <v>0</v>
      </c>
      <c r="CT86">
        <f t="shared" si="89"/>
        <v>0</v>
      </c>
      <c r="CU86">
        <f t="shared" si="90"/>
        <v>0</v>
      </c>
      <c r="CV86">
        <f t="shared" si="91"/>
        <v>0</v>
      </c>
      <c r="CW86">
        <f t="shared" si="92"/>
        <v>0</v>
      </c>
      <c r="CX86">
        <f t="shared" si="93"/>
        <v>0</v>
      </c>
      <c r="CY86">
        <f t="shared" si="103"/>
        <v>0</v>
      </c>
      <c r="CZ86">
        <f t="shared" si="104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1009</v>
      </c>
      <c r="DV86" t="s">
        <v>170</v>
      </c>
      <c r="DW86" t="s">
        <v>170</v>
      </c>
      <c r="DX86">
        <v>1000</v>
      </c>
      <c r="DZ86" t="s">
        <v>3</v>
      </c>
      <c r="EA86" t="s">
        <v>3</v>
      </c>
      <c r="EB86" t="s">
        <v>3</v>
      </c>
      <c r="EC86" t="s">
        <v>3</v>
      </c>
      <c r="EE86">
        <v>92109440</v>
      </c>
      <c r="EF86">
        <v>2</v>
      </c>
      <c r="EG86" t="s">
        <v>21</v>
      </c>
      <c r="EH86">
        <v>21</v>
      </c>
      <c r="EI86" t="s">
        <v>161</v>
      </c>
      <c r="EJ86">
        <v>1</v>
      </c>
      <c r="EK86">
        <v>27001</v>
      </c>
      <c r="EL86" t="s">
        <v>161</v>
      </c>
      <c r="EM86" t="s">
        <v>162</v>
      </c>
      <c r="EO86" t="s">
        <v>3</v>
      </c>
      <c r="EQ86">
        <v>1024</v>
      </c>
      <c r="ER86">
        <v>22503.11</v>
      </c>
      <c r="ES86">
        <v>22503.11</v>
      </c>
      <c r="ET86">
        <v>0</v>
      </c>
      <c r="EU86">
        <v>0</v>
      </c>
      <c r="EV86">
        <v>0</v>
      </c>
      <c r="EW86">
        <v>0</v>
      </c>
      <c r="EX86">
        <v>0</v>
      </c>
      <c r="FQ86">
        <v>0</v>
      </c>
      <c r="FR86">
        <f t="shared" si="94"/>
        <v>0</v>
      </c>
      <c r="FS86">
        <v>0</v>
      </c>
      <c r="FX86">
        <v>147</v>
      </c>
      <c r="FY86">
        <v>134</v>
      </c>
      <c r="GA86" t="s">
        <v>3</v>
      </c>
      <c r="GD86">
        <v>1</v>
      </c>
      <c r="GF86">
        <v>-1963733011</v>
      </c>
      <c r="GG86">
        <v>2</v>
      </c>
      <c r="GH86">
        <v>1</v>
      </c>
      <c r="GI86">
        <v>2</v>
      </c>
      <c r="GJ86">
        <v>0</v>
      </c>
      <c r="GK86">
        <v>0</v>
      </c>
      <c r="GL86">
        <f t="shared" si="95"/>
        <v>0</v>
      </c>
      <c r="GM86">
        <f t="shared" si="96"/>
        <v>-2923.69</v>
      </c>
      <c r="GN86">
        <f t="shared" si="97"/>
        <v>-2923.69</v>
      </c>
      <c r="GO86">
        <f t="shared" si="98"/>
        <v>0</v>
      </c>
      <c r="GP86">
        <f t="shared" si="99"/>
        <v>0</v>
      </c>
      <c r="GR86">
        <v>0</v>
      </c>
      <c r="GS86">
        <v>3</v>
      </c>
      <c r="GT86">
        <v>0</v>
      </c>
      <c r="GU86" t="s">
        <v>3</v>
      </c>
      <c r="GV86">
        <f t="shared" si="100"/>
        <v>0</v>
      </c>
      <c r="GW86">
        <v>1</v>
      </c>
      <c r="GX86">
        <f t="shared" si="101"/>
        <v>0</v>
      </c>
      <c r="HA86">
        <v>0</v>
      </c>
      <c r="HB86">
        <v>0</v>
      </c>
      <c r="HC86">
        <f t="shared" si="102"/>
        <v>0</v>
      </c>
      <c r="HE86" t="s">
        <v>3</v>
      </c>
      <c r="HF86" t="s">
        <v>3</v>
      </c>
      <c r="HM86" t="s">
        <v>3</v>
      </c>
      <c r="HN86" t="s">
        <v>163</v>
      </c>
      <c r="HO86" t="s">
        <v>164</v>
      </c>
      <c r="HP86" t="s">
        <v>161</v>
      </c>
      <c r="HQ86" t="s">
        <v>161</v>
      </c>
      <c r="IK86">
        <v>0</v>
      </c>
    </row>
    <row r="87" spans="1:245" x14ac:dyDescent="0.2">
      <c r="A87">
        <v>18</v>
      </c>
      <c r="B87">
        <v>1</v>
      </c>
      <c r="C87">
        <v>58</v>
      </c>
      <c r="E87" t="s">
        <v>3</v>
      </c>
      <c r="F87" t="s">
        <v>172</v>
      </c>
      <c r="G87" t="s">
        <v>173</v>
      </c>
      <c r="H87" t="s">
        <v>170</v>
      </c>
      <c r="I87">
        <f>I84*J87</f>
        <v>-4.6574999999999998E-2</v>
      </c>
      <c r="J87">
        <v>-7.469927826784282E-3</v>
      </c>
      <c r="K87">
        <v>-7.4700000000000001E-3</v>
      </c>
      <c r="O87">
        <f t="shared" si="65"/>
        <v>-4401.1000000000004</v>
      </c>
      <c r="P87">
        <f t="shared" si="66"/>
        <v>-4401.1000000000004</v>
      </c>
      <c r="Q87">
        <f t="shared" si="67"/>
        <v>0</v>
      </c>
      <c r="R87">
        <f t="shared" si="68"/>
        <v>0</v>
      </c>
      <c r="S87">
        <f t="shared" si="69"/>
        <v>0</v>
      </c>
      <c r="T87">
        <f t="shared" si="70"/>
        <v>0</v>
      </c>
      <c r="U87">
        <f t="shared" si="71"/>
        <v>0</v>
      </c>
      <c r="V87">
        <f t="shared" si="72"/>
        <v>0</v>
      </c>
      <c r="W87">
        <f t="shared" si="73"/>
        <v>0</v>
      </c>
      <c r="X87">
        <f t="shared" si="74"/>
        <v>0</v>
      </c>
      <c r="Y87">
        <f t="shared" si="75"/>
        <v>0</v>
      </c>
      <c r="AA87">
        <v>-1</v>
      </c>
      <c r="AB87">
        <f t="shared" si="76"/>
        <v>15989</v>
      </c>
      <c r="AC87">
        <f t="shared" si="77"/>
        <v>15989</v>
      </c>
      <c r="AD87">
        <f t="shared" si="78"/>
        <v>0</v>
      </c>
      <c r="AE87">
        <f t="shared" si="79"/>
        <v>0</v>
      </c>
      <c r="AF87">
        <f t="shared" si="80"/>
        <v>0</v>
      </c>
      <c r="AG87">
        <f t="shared" si="81"/>
        <v>0</v>
      </c>
      <c r="AH87">
        <f t="shared" si="82"/>
        <v>0</v>
      </c>
      <c r="AI87">
        <f t="shared" si="83"/>
        <v>0</v>
      </c>
      <c r="AJ87">
        <f t="shared" si="84"/>
        <v>0</v>
      </c>
      <c r="AK87">
        <v>15989</v>
      </c>
      <c r="AL87">
        <v>15989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147</v>
      </c>
      <c r="AU87">
        <v>134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5.91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174</v>
      </c>
      <c r="BM87">
        <v>27001</v>
      </c>
      <c r="BN87">
        <v>0</v>
      </c>
      <c r="BO87" t="s">
        <v>172</v>
      </c>
      <c r="BP87">
        <v>1</v>
      </c>
      <c r="BQ87">
        <v>2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147</v>
      </c>
      <c r="CA87">
        <v>134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85"/>
        <v>-4401.1000000000004</v>
      </c>
      <c r="CQ87">
        <f t="shared" si="86"/>
        <v>94494.99</v>
      </c>
      <c r="CR87">
        <f t="shared" si="87"/>
        <v>0</v>
      </c>
      <c r="CS87">
        <f t="shared" si="88"/>
        <v>0</v>
      </c>
      <c r="CT87">
        <f t="shared" si="89"/>
        <v>0</v>
      </c>
      <c r="CU87">
        <f t="shared" si="90"/>
        <v>0</v>
      </c>
      <c r="CV87">
        <f t="shared" si="91"/>
        <v>0</v>
      </c>
      <c r="CW87">
        <f t="shared" si="92"/>
        <v>0</v>
      </c>
      <c r="CX87">
        <f t="shared" si="93"/>
        <v>0</v>
      </c>
      <c r="CY87">
        <f t="shared" si="103"/>
        <v>0</v>
      </c>
      <c r="CZ87">
        <f t="shared" si="104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1009</v>
      </c>
      <c r="DV87" t="s">
        <v>170</v>
      </c>
      <c r="DW87" t="s">
        <v>170</v>
      </c>
      <c r="DX87">
        <v>1000</v>
      </c>
      <c r="DZ87" t="s">
        <v>3</v>
      </c>
      <c r="EA87" t="s">
        <v>3</v>
      </c>
      <c r="EB87" t="s">
        <v>3</v>
      </c>
      <c r="EC87" t="s">
        <v>3</v>
      </c>
      <c r="EE87">
        <v>92109440</v>
      </c>
      <c r="EF87">
        <v>2</v>
      </c>
      <c r="EG87" t="s">
        <v>21</v>
      </c>
      <c r="EH87">
        <v>21</v>
      </c>
      <c r="EI87" t="s">
        <v>161</v>
      </c>
      <c r="EJ87">
        <v>1</v>
      </c>
      <c r="EK87">
        <v>27001</v>
      </c>
      <c r="EL87" t="s">
        <v>161</v>
      </c>
      <c r="EM87" t="s">
        <v>162</v>
      </c>
      <c r="EO87" t="s">
        <v>3</v>
      </c>
      <c r="EQ87">
        <v>1024</v>
      </c>
      <c r="ER87">
        <v>15989</v>
      </c>
      <c r="ES87">
        <v>15989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94"/>
        <v>0</v>
      </c>
      <c r="FS87">
        <v>0</v>
      </c>
      <c r="FX87">
        <v>147</v>
      </c>
      <c r="FY87">
        <v>134</v>
      </c>
      <c r="GA87" t="s">
        <v>3</v>
      </c>
      <c r="GD87">
        <v>1</v>
      </c>
      <c r="GF87">
        <v>1936193880</v>
      </c>
      <c r="GG87">
        <v>2</v>
      </c>
      <c r="GH87">
        <v>1</v>
      </c>
      <c r="GI87">
        <v>2</v>
      </c>
      <c r="GJ87">
        <v>0</v>
      </c>
      <c r="GK87">
        <v>0</v>
      </c>
      <c r="GL87">
        <f t="shared" si="95"/>
        <v>0</v>
      </c>
      <c r="GM87">
        <f t="shared" si="96"/>
        <v>-4401.1000000000004</v>
      </c>
      <c r="GN87">
        <f t="shared" si="97"/>
        <v>-4401.1000000000004</v>
      </c>
      <c r="GO87">
        <f t="shared" si="98"/>
        <v>0</v>
      </c>
      <c r="GP87">
        <f t="shared" si="99"/>
        <v>0</v>
      </c>
      <c r="GR87">
        <v>0</v>
      </c>
      <c r="GS87">
        <v>3</v>
      </c>
      <c r="GT87">
        <v>0</v>
      </c>
      <c r="GU87" t="s">
        <v>3</v>
      </c>
      <c r="GV87">
        <f t="shared" si="100"/>
        <v>0</v>
      </c>
      <c r="GW87">
        <v>1</v>
      </c>
      <c r="GX87">
        <f t="shared" si="101"/>
        <v>0</v>
      </c>
      <c r="HA87">
        <v>0</v>
      </c>
      <c r="HB87">
        <v>0</v>
      </c>
      <c r="HC87">
        <f t="shared" si="102"/>
        <v>0</v>
      </c>
      <c r="HE87" t="s">
        <v>3</v>
      </c>
      <c r="HF87" t="s">
        <v>3</v>
      </c>
      <c r="HM87" t="s">
        <v>3</v>
      </c>
      <c r="HN87" t="s">
        <v>163</v>
      </c>
      <c r="HO87" t="s">
        <v>164</v>
      </c>
      <c r="HP87" t="s">
        <v>161</v>
      </c>
      <c r="HQ87" t="s">
        <v>161</v>
      </c>
      <c r="IK87">
        <v>0</v>
      </c>
    </row>
    <row r="88" spans="1:245" x14ac:dyDescent="0.2">
      <c r="A88">
        <v>18</v>
      </c>
      <c r="B88">
        <v>1</v>
      </c>
      <c r="C88">
        <v>59</v>
      </c>
      <c r="E88" t="s">
        <v>3</v>
      </c>
      <c r="F88" t="s">
        <v>175</v>
      </c>
      <c r="G88" t="s">
        <v>176</v>
      </c>
      <c r="H88" t="s">
        <v>170</v>
      </c>
      <c r="I88">
        <f>I84*J88</f>
        <v>-0.17083899999999999</v>
      </c>
      <c r="J88">
        <v>-2.7399999999999997E-2</v>
      </c>
      <c r="K88">
        <v>-2.7400000000000001E-2</v>
      </c>
      <c r="O88">
        <f t="shared" si="65"/>
        <v>-14705.7</v>
      </c>
      <c r="P88">
        <f t="shared" si="66"/>
        <v>-14705.7</v>
      </c>
      <c r="Q88">
        <f t="shared" si="67"/>
        <v>0</v>
      </c>
      <c r="R88">
        <f t="shared" si="68"/>
        <v>0</v>
      </c>
      <c r="S88">
        <f t="shared" si="69"/>
        <v>0</v>
      </c>
      <c r="T88">
        <f t="shared" si="70"/>
        <v>0</v>
      </c>
      <c r="U88">
        <f t="shared" si="71"/>
        <v>0</v>
      </c>
      <c r="V88">
        <f t="shared" si="72"/>
        <v>0</v>
      </c>
      <c r="W88">
        <f t="shared" si="73"/>
        <v>0</v>
      </c>
      <c r="X88">
        <f t="shared" si="74"/>
        <v>0</v>
      </c>
      <c r="Y88">
        <f t="shared" si="75"/>
        <v>0</v>
      </c>
      <c r="AA88">
        <v>-1</v>
      </c>
      <c r="AB88">
        <f t="shared" si="76"/>
        <v>21959</v>
      </c>
      <c r="AC88">
        <f t="shared" si="77"/>
        <v>21959</v>
      </c>
      <c r="AD88">
        <f t="shared" si="78"/>
        <v>0</v>
      </c>
      <c r="AE88">
        <f t="shared" si="79"/>
        <v>0</v>
      </c>
      <c r="AF88">
        <f t="shared" si="80"/>
        <v>0</v>
      </c>
      <c r="AG88">
        <f t="shared" si="81"/>
        <v>0</v>
      </c>
      <c r="AH88">
        <f t="shared" si="82"/>
        <v>0</v>
      </c>
      <c r="AI88">
        <f t="shared" si="83"/>
        <v>0</v>
      </c>
      <c r="AJ88">
        <f t="shared" si="84"/>
        <v>0</v>
      </c>
      <c r="AK88">
        <v>21959</v>
      </c>
      <c r="AL88">
        <v>21959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147</v>
      </c>
      <c r="AU88">
        <v>134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3.92</v>
      </c>
      <c r="BD88" t="s">
        <v>3</v>
      </c>
      <c r="BE88" t="s">
        <v>3</v>
      </c>
      <c r="BF88" t="s">
        <v>3</v>
      </c>
      <c r="BG88" t="s">
        <v>3</v>
      </c>
      <c r="BH88">
        <v>3</v>
      </c>
      <c r="BI88">
        <v>1</v>
      </c>
      <c r="BJ88" t="s">
        <v>177</v>
      </c>
      <c r="BM88">
        <v>27001</v>
      </c>
      <c r="BN88">
        <v>0</v>
      </c>
      <c r="BO88" t="s">
        <v>175</v>
      </c>
      <c r="BP88">
        <v>1</v>
      </c>
      <c r="BQ88">
        <v>2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147</v>
      </c>
      <c r="CA88">
        <v>134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si="85"/>
        <v>-14705.7</v>
      </c>
      <c r="CQ88">
        <f t="shared" si="86"/>
        <v>86079.28</v>
      </c>
      <c r="CR88">
        <f t="shared" si="87"/>
        <v>0</v>
      </c>
      <c r="CS88">
        <f t="shared" si="88"/>
        <v>0</v>
      </c>
      <c r="CT88">
        <f t="shared" si="89"/>
        <v>0</v>
      </c>
      <c r="CU88">
        <f t="shared" si="90"/>
        <v>0</v>
      </c>
      <c r="CV88">
        <f t="shared" si="91"/>
        <v>0</v>
      </c>
      <c r="CW88">
        <f t="shared" si="92"/>
        <v>0</v>
      </c>
      <c r="CX88">
        <f t="shared" si="93"/>
        <v>0</v>
      </c>
      <c r="CY88">
        <f t="shared" si="103"/>
        <v>0</v>
      </c>
      <c r="CZ88">
        <f t="shared" si="104"/>
        <v>0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1009</v>
      </c>
      <c r="DV88" t="s">
        <v>170</v>
      </c>
      <c r="DW88" t="s">
        <v>170</v>
      </c>
      <c r="DX88">
        <v>1000</v>
      </c>
      <c r="DZ88" t="s">
        <v>3</v>
      </c>
      <c r="EA88" t="s">
        <v>3</v>
      </c>
      <c r="EB88" t="s">
        <v>3</v>
      </c>
      <c r="EC88" t="s">
        <v>3</v>
      </c>
      <c r="EE88">
        <v>92109440</v>
      </c>
      <c r="EF88">
        <v>2</v>
      </c>
      <c r="EG88" t="s">
        <v>21</v>
      </c>
      <c r="EH88">
        <v>21</v>
      </c>
      <c r="EI88" t="s">
        <v>161</v>
      </c>
      <c r="EJ88">
        <v>1</v>
      </c>
      <c r="EK88">
        <v>27001</v>
      </c>
      <c r="EL88" t="s">
        <v>161</v>
      </c>
      <c r="EM88" t="s">
        <v>162</v>
      </c>
      <c r="EO88" t="s">
        <v>3</v>
      </c>
      <c r="EQ88">
        <v>1024</v>
      </c>
      <c r="ER88">
        <v>21959</v>
      </c>
      <c r="ES88">
        <v>21959</v>
      </c>
      <c r="ET88">
        <v>0</v>
      </c>
      <c r="EU88">
        <v>0</v>
      </c>
      <c r="EV88">
        <v>0</v>
      </c>
      <c r="EW88">
        <v>0</v>
      </c>
      <c r="EX88">
        <v>0</v>
      </c>
      <c r="FQ88">
        <v>0</v>
      </c>
      <c r="FR88">
        <f t="shared" si="94"/>
        <v>0</v>
      </c>
      <c r="FS88">
        <v>0</v>
      </c>
      <c r="FX88">
        <v>147</v>
      </c>
      <c r="FY88">
        <v>134</v>
      </c>
      <c r="GA88" t="s">
        <v>3</v>
      </c>
      <c r="GD88">
        <v>1</v>
      </c>
      <c r="GF88">
        <v>-159891576</v>
      </c>
      <c r="GG88">
        <v>2</v>
      </c>
      <c r="GH88">
        <v>1</v>
      </c>
      <c r="GI88">
        <v>2</v>
      </c>
      <c r="GJ88">
        <v>0</v>
      </c>
      <c r="GK88">
        <v>0</v>
      </c>
      <c r="GL88">
        <f t="shared" si="95"/>
        <v>0</v>
      </c>
      <c r="GM88">
        <f t="shared" si="96"/>
        <v>-14705.7</v>
      </c>
      <c r="GN88">
        <f t="shared" si="97"/>
        <v>-14705.7</v>
      </c>
      <c r="GO88">
        <f t="shared" si="98"/>
        <v>0</v>
      </c>
      <c r="GP88">
        <f t="shared" si="99"/>
        <v>0</v>
      </c>
      <c r="GR88">
        <v>0</v>
      </c>
      <c r="GS88">
        <v>3</v>
      </c>
      <c r="GT88">
        <v>0</v>
      </c>
      <c r="GU88" t="s">
        <v>3</v>
      </c>
      <c r="GV88">
        <f t="shared" si="100"/>
        <v>0</v>
      </c>
      <c r="GW88">
        <v>1</v>
      </c>
      <c r="GX88">
        <f t="shared" si="101"/>
        <v>0</v>
      </c>
      <c r="HA88">
        <v>0</v>
      </c>
      <c r="HB88">
        <v>0</v>
      </c>
      <c r="HC88">
        <f t="shared" si="102"/>
        <v>0</v>
      </c>
      <c r="HE88" t="s">
        <v>3</v>
      </c>
      <c r="HF88" t="s">
        <v>3</v>
      </c>
      <c r="HM88" t="s">
        <v>3</v>
      </c>
      <c r="HN88" t="s">
        <v>163</v>
      </c>
      <c r="HO88" t="s">
        <v>164</v>
      </c>
      <c r="HP88" t="s">
        <v>161</v>
      </c>
      <c r="HQ88" t="s">
        <v>161</v>
      </c>
      <c r="IK88">
        <v>0</v>
      </c>
    </row>
    <row r="89" spans="1:245" x14ac:dyDescent="0.2">
      <c r="A89">
        <v>18</v>
      </c>
      <c r="B89">
        <v>1</v>
      </c>
      <c r="C89">
        <v>63</v>
      </c>
      <c r="E89" t="s">
        <v>3</v>
      </c>
      <c r="F89" t="s">
        <v>178</v>
      </c>
      <c r="G89" t="s">
        <v>179</v>
      </c>
      <c r="H89" t="s">
        <v>170</v>
      </c>
      <c r="I89">
        <f>I84*J89</f>
        <v>-2.1697999999999999E-2</v>
      </c>
      <c r="J89">
        <v>-3.4800320769847628E-3</v>
      </c>
      <c r="K89">
        <v>-3.48E-3</v>
      </c>
      <c r="O89">
        <f t="shared" si="65"/>
        <v>-1738.67</v>
      </c>
      <c r="P89">
        <f t="shared" si="66"/>
        <v>-1738.67</v>
      </c>
      <c r="Q89">
        <f t="shared" si="67"/>
        <v>0</v>
      </c>
      <c r="R89">
        <f t="shared" si="68"/>
        <v>0</v>
      </c>
      <c r="S89">
        <f t="shared" si="69"/>
        <v>0</v>
      </c>
      <c r="T89">
        <f t="shared" si="70"/>
        <v>0</v>
      </c>
      <c r="U89">
        <f t="shared" si="71"/>
        <v>0</v>
      </c>
      <c r="V89">
        <f t="shared" si="72"/>
        <v>0</v>
      </c>
      <c r="W89">
        <f t="shared" si="73"/>
        <v>0</v>
      </c>
      <c r="X89">
        <f t="shared" si="74"/>
        <v>0</v>
      </c>
      <c r="Y89">
        <f t="shared" si="75"/>
        <v>0</v>
      </c>
      <c r="AA89">
        <v>-1</v>
      </c>
      <c r="AB89">
        <f t="shared" si="76"/>
        <v>15620</v>
      </c>
      <c r="AC89">
        <f t="shared" si="77"/>
        <v>15620</v>
      </c>
      <c r="AD89">
        <f t="shared" si="78"/>
        <v>0</v>
      </c>
      <c r="AE89">
        <f t="shared" si="79"/>
        <v>0</v>
      </c>
      <c r="AF89">
        <f t="shared" si="80"/>
        <v>0</v>
      </c>
      <c r="AG89">
        <f t="shared" si="81"/>
        <v>0</v>
      </c>
      <c r="AH89">
        <f t="shared" si="82"/>
        <v>0</v>
      </c>
      <c r="AI89">
        <f t="shared" si="83"/>
        <v>0</v>
      </c>
      <c r="AJ89">
        <f t="shared" si="84"/>
        <v>0</v>
      </c>
      <c r="AK89">
        <v>15620</v>
      </c>
      <c r="AL89">
        <v>15620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147</v>
      </c>
      <c r="AU89">
        <v>134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5.13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180</v>
      </c>
      <c r="BM89">
        <v>27001</v>
      </c>
      <c r="BN89">
        <v>0</v>
      </c>
      <c r="BO89" t="s">
        <v>178</v>
      </c>
      <c r="BP89">
        <v>1</v>
      </c>
      <c r="BQ89">
        <v>2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147</v>
      </c>
      <c r="CA89">
        <v>134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85"/>
        <v>-1738.67</v>
      </c>
      <c r="CQ89">
        <f t="shared" si="86"/>
        <v>80130.599999999991</v>
      </c>
      <c r="CR89">
        <f t="shared" si="87"/>
        <v>0</v>
      </c>
      <c r="CS89">
        <f t="shared" si="88"/>
        <v>0</v>
      </c>
      <c r="CT89">
        <f t="shared" si="89"/>
        <v>0</v>
      </c>
      <c r="CU89">
        <f t="shared" si="90"/>
        <v>0</v>
      </c>
      <c r="CV89">
        <f t="shared" si="91"/>
        <v>0</v>
      </c>
      <c r="CW89">
        <f t="shared" si="92"/>
        <v>0</v>
      </c>
      <c r="CX89">
        <f t="shared" si="93"/>
        <v>0</v>
      </c>
      <c r="CY89">
        <f t="shared" si="103"/>
        <v>0</v>
      </c>
      <c r="CZ89">
        <f t="shared" si="104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1009</v>
      </c>
      <c r="DV89" t="s">
        <v>170</v>
      </c>
      <c r="DW89" t="s">
        <v>170</v>
      </c>
      <c r="DX89">
        <v>1000</v>
      </c>
      <c r="DZ89" t="s">
        <v>3</v>
      </c>
      <c r="EA89" t="s">
        <v>3</v>
      </c>
      <c r="EB89" t="s">
        <v>3</v>
      </c>
      <c r="EC89" t="s">
        <v>3</v>
      </c>
      <c r="EE89">
        <v>92109440</v>
      </c>
      <c r="EF89">
        <v>2</v>
      </c>
      <c r="EG89" t="s">
        <v>21</v>
      </c>
      <c r="EH89">
        <v>21</v>
      </c>
      <c r="EI89" t="s">
        <v>161</v>
      </c>
      <c r="EJ89">
        <v>1</v>
      </c>
      <c r="EK89">
        <v>27001</v>
      </c>
      <c r="EL89" t="s">
        <v>161</v>
      </c>
      <c r="EM89" t="s">
        <v>162</v>
      </c>
      <c r="EO89" t="s">
        <v>3</v>
      </c>
      <c r="EQ89">
        <v>1024</v>
      </c>
      <c r="ER89">
        <v>15620</v>
      </c>
      <c r="ES89">
        <v>15620</v>
      </c>
      <c r="ET89">
        <v>0</v>
      </c>
      <c r="EU89">
        <v>0</v>
      </c>
      <c r="EV89">
        <v>0</v>
      </c>
      <c r="EW89">
        <v>0</v>
      </c>
      <c r="EX89">
        <v>0</v>
      </c>
      <c r="FQ89">
        <v>0</v>
      </c>
      <c r="FR89">
        <f t="shared" si="94"/>
        <v>0</v>
      </c>
      <c r="FS89">
        <v>0</v>
      </c>
      <c r="FX89">
        <v>147</v>
      </c>
      <c r="FY89">
        <v>134</v>
      </c>
      <c r="GA89" t="s">
        <v>3</v>
      </c>
      <c r="GD89">
        <v>1</v>
      </c>
      <c r="GF89">
        <v>-763406924</v>
      </c>
      <c r="GG89">
        <v>2</v>
      </c>
      <c r="GH89">
        <v>1</v>
      </c>
      <c r="GI89">
        <v>2</v>
      </c>
      <c r="GJ89">
        <v>0</v>
      </c>
      <c r="GK89">
        <v>0</v>
      </c>
      <c r="GL89">
        <f t="shared" si="95"/>
        <v>0</v>
      </c>
      <c r="GM89">
        <f t="shared" si="96"/>
        <v>-1738.67</v>
      </c>
      <c r="GN89">
        <f t="shared" si="97"/>
        <v>-1738.67</v>
      </c>
      <c r="GO89">
        <f t="shared" si="98"/>
        <v>0</v>
      </c>
      <c r="GP89">
        <f t="shared" si="99"/>
        <v>0</v>
      </c>
      <c r="GR89">
        <v>0</v>
      </c>
      <c r="GS89">
        <v>3</v>
      </c>
      <c r="GT89">
        <v>0</v>
      </c>
      <c r="GU89" t="s">
        <v>3</v>
      </c>
      <c r="GV89">
        <f t="shared" si="100"/>
        <v>0</v>
      </c>
      <c r="GW89">
        <v>1</v>
      </c>
      <c r="GX89">
        <f t="shared" si="101"/>
        <v>0</v>
      </c>
      <c r="HA89">
        <v>0</v>
      </c>
      <c r="HB89">
        <v>0</v>
      </c>
      <c r="HC89">
        <f t="shared" si="102"/>
        <v>0</v>
      </c>
      <c r="HE89" t="s">
        <v>3</v>
      </c>
      <c r="HF89" t="s">
        <v>3</v>
      </c>
      <c r="HM89" t="s">
        <v>3</v>
      </c>
      <c r="HN89" t="s">
        <v>163</v>
      </c>
      <c r="HO89" t="s">
        <v>164</v>
      </c>
      <c r="HP89" t="s">
        <v>161</v>
      </c>
      <c r="HQ89" t="s">
        <v>161</v>
      </c>
      <c r="IK89">
        <v>0</v>
      </c>
    </row>
    <row r="90" spans="1:245" x14ac:dyDescent="0.2">
      <c r="A90">
        <v>18</v>
      </c>
      <c r="B90">
        <v>1</v>
      </c>
      <c r="C90">
        <v>65</v>
      </c>
      <c r="E90" t="s">
        <v>3</v>
      </c>
      <c r="F90" t="s">
        <v>181</v>
      </c>
      <c r="G90" t="s">
        <v>182</v>
      </c>
      <c r="H90" t="s">
        <v>52</v>
      </c>
      <c r="I90">
        <f>I84*J90</f>
        <v>-4.3021500000000001</v>
      </c>
      <c r="J90">
        <v>-0.69</v>
      </c>
      <c r="K90">
        <v>-0.69</v>
      </c>
      <c r="O90">
        <f t="shared" si="65"/>
        <v>-18344.12</v>
      </c>
      <c r="P90">
        <f t="shared" si="66"/>
        <v>-18344.12</v>
      </c>
      <c r="Q90">
        <f t="shared" si="67"/>
        <v>0</v>
      </c>
      <c r="R90">
        <f t="shared" si="68"/>
        <v>0</v>
      </c>
      <c r="S90">
        <f t="shared" si="69"/>
        <v>0</v>
      </c>
      <c r="T90">
        <f t="shared" si="70"/>
        <v>0</v>
      </c>
      <c r="U90">
        <f t="shared" si="71"/>
        <v>0</v>
      </c>
      <c r="V90">
        <f t="shared" si="72"/>
        <v>0</v>
      </c>
      <c r="W90">
        <f t="shared" si="73"/>
        <v>0</v>
      </c>
      <c r="X90">
        <f t="shared" si="74"/>
        <v>0</v>
      </c>
      <c r="Y90">
        <f t="shared" si="75"/>
        <v>0</v>
      </c>
      <c r="AA90">
        <v>-1</v>
      </c>
      <c r="AB90">
        <f t="shared" si="76"/>
        <v>279.97000000000003</v>
      </c>
      <c r="AC90">
        <f t="shared" si="77"/>
        <v>279.97000000000003</v>
      </c>
      <c r="AD90">
        <f t="shared" si="78"/>
        <v>0</v>
      </c>
      <c r="AE90">
        <f t="shared" si="79"/>
        <v>0</v>
      </c>
      <c r="AF90">
        <f t="shared" si="80"/>
        <v>0</v>
      </c>
      <c r="AG90">
        <f t="shared" si="81"/>
        <v>0</v>
      </c>
      <c r="AH90">
        <f t="shared" si="82"/>
        <v>0</v>
      </c>
      <c r="AI90">
        <f t="shared" si="83"/>
        <v>0</v>
      </c>
      <c r="AJ90">
        <f t="shared" si="84"/>
        <v>0</v>
      </c>
      <c r="AK90">
        <v>279.97000000000003</v>
      </c>
      <c r="AL90">
        <v>279.97000000000003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147</v>
      </c>
      <c r="AU90">
        <v>134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15.23</v>
      </c>
      <c r="BD90" t="s">
        <v>3</v>
      </c>
      <c r="BE90" t="s">
        <v>3</v>
      </c>
      <c r="BF90" t="s">
        <v>3</v>
      </c>
      <c r="BG90" t="s">
        <v>3</v>
      </c>
      <c r="BH90">
        <v>3</v>
      </c>
      <c r="BI90">
        <v>1</v>
      </c>
      <c r="BJ90" t="s">
        <v>183</v>
      </c>
      <c r="BM90">
        <v>27001</v>
      </c>
      <c r="BN90">
        <v>0</v>
      </c>
      <c r="BO90" t="s">
        <v>181</v>
      </c>
      <c r="BP90">
        <v>1</v>
      </c>
      <c r="BQ90">
        <v>2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147</v>
      </c>
      <c r="CA90">
        <v>134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85"/>
        <v>-18344.12</v>
      </c>
      <c r="CQ90">
        <f t="shared" si="86"/>
        <v>4263.9431000000004</v>
      </c>
      <c r="CR90">
        <f t="shared" si="87"/>
        <v>0</v>
      </c>
      <c r="CS90">
        <f t="shared" si="88"/>
        <v>0</v>
      </c>
      <c r="CT90">
        <f t="shared" si="89"/>
        <v>0</v>
      </c>
      <c r="CU90">
        <f t="shared" si="90"/>
        <v>0</v>
      </c>
      <c r="CV90">
        <f t="shared" si="91"/>
        <v>0</v>
      </c>
      <c r="CW90">
        <f t="shared" si="92"/>
        <v>0</v>
      </c>
      <c r="CX90">
        <f t="shared" si="93"/>
        <v>0</v>
      </c>
      <c r="CY90">
        <f t="shared" si="103"/>
        <v>0</v>
      </c>
      <c r="CZ90">
        <f t="shared" si="104"/>
        <v>0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1007</v>
      </c>
      <c r="DV90" t="s">
        <v>52</v>
      </c>
      <c r="DW90" t="s">
        <v>52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92109440</v>
      </c>
      <c r="EF90">
        <v>2</v>
      </c>
      <c r="EG90" t="s">
        <v>21</v>
      </c>
      <c r="EH90">
        <v>21</v>
      </c>
      <c r="EI90" t="s">
        <v>161</v>
      </c>
      <c r="EJ90">
        <v>1</v>
      </c>
      <c r="EK90">
        <v>27001</v>
      </c>
      <c r="EL90" t="s">
        <v>161</v>
      </c>
      <c r="EM90" t="s">
        <v>162</v>
      </c>
      <c r="EO90" t="s">
        <v>3</v>
      </c>
      <c r="EQ90">
        <v>1024</v>
      </c>
      <c r="ER90">
        <v>279.97000000000003</v>
      </c>
      <c r="ES90">
        <v>279.97000000000003</v>
      </c>
      <c r="ET90">
        <v>0</v>
      </c>
      <c r="EU90">
        <v>0</v>
      </c>
      <c r="EV90">
        <v>0</v>
      </c>
      <c r="EW90">
        <v>0</v>
      </c>
      <c r="EX90">
        <v>0</v>
      </c>
      <c r="FQ90">
        <v>0</v>
      </c>
      <c r="FR90">
        <f t="shared" si="94"/>
        <v>0</v>
      </c>
      <c r="FS90">
        <v>0</v>
      </c>
      <c r="FX90">
        <v>147</v>
      </c>
      <c r="FY90">
        <v>134</v>
      </c>
      <c r="GA90" t="s">
        <v>3</v>
      </c>
      <c r="GD90">
        <v>1</v>
      </c>
      <c r="GF90">
        <v>59586033</v>
      </c>
      <c r="GG90">
        <v>2</v>
      </c>
      <c r="GH90">
        <v>1</v>
      </c>
      <c r="GI90">
        <v>2</v>
      </c>
      <c r="GJ90">
        <v>0</v>
      </c>
      <c r="GK90">
        <v>0</v>
      </c>
      <c r="GL90">
        <f t="shared" si="95"/>
        <v>0</v>
      </c>
      <c r="GM90">
        <f t="shared" si="96"/>
        <v>-18344.12</v>
      </c>
      <c r="GN90">
        <f t="shared" si="97"/>
        <v>-18344.12</v>
      </c>
      <c r="GO90">
        <f t="shared" si="98"/>
        <v>0</v>
      </c>
      <c r="GP90">
        <f t="shared" si="99"/>
        <v>0</v>
      </c>
      <c r="GR90">
        <v>0</v>
      </c>
      <c r="GS90">
        <v>3</v>
      </c>
      <c r="GT90">
        <v>0</v>
      </c>
      <c r="GU90" t="s">
        <v>3</v>
      </c>
      <c r="GV90">
        <f t="shared" si="100"/>
        <v>0</v>
      </c>
      <c r="GW90">
        <v>1</v>
      </c>
      <c r="GX90">
        <f t="shared" si="101"/>
        <v>0</v>
      </c>
      <c r="HA90">
        <v>0</v>
      </c>
      <c r="HB90">
        <v>0</v>
      </c>
      <c r="HC90">
        <f t="shared" si="102"/>
        <v>0</v>
      </c>
      <c r="HE90" t="s">
        <v>3</v>
      </c>
      <c r="HF90" t="s">
        <v>3</v>
      </c>
      <c r="HM90" t="s">
        <v>3</v>
      </c>
      <c r="HN90" t="s">
        <v>163</v>
      </c>
      <c r="HO90" t="s">
        <v>164</v>
      </c>
      <c r="HP90" t="s">
        <v>161</v>
      </c>
      <c r="HQ90" t="s">
        <v>161</v>
      </c>
      <c r="IK90">
        <v>0</v>
      </c>
    </row>
    <row r="91" spans="1:245" x14ac:dyDescent="0.2">
      <c r="A91">
        <v>18</v>
      </c>
      <c r="B91">
        <v>1</v>
      </c>
      <c r="C91">
        <v>55</v>
      </c>
      <c r="E91" t="s">
        <v>3</v>
      </c>
      <c r="F91" t="s">
        <v>184</v>
      </c>
      <c r="G91" t="s">
        <v>185</v>
      </c>
      <c r="H91" t="s">
        <v>170</v>
      </c>
      <c r="I91">
        <f>I84*J91</f>
        <v>-2.43165E-3</v>
      </c>
      <c r="J91">
        <v>-3.8999999999999999E-4</v>
      </c>
      <c r="K91">
        <v>-3.8999999999999999E-4</v>
      </c>
      <c r="O91">
        <f t="shared" si="65"/>
        <v>-1280.49</v>
      </c>
      <c r="P91">
        <f t="shared" si="66"/>
        <v>-1280.49</v>
      </c>
      <c r="Q91">
        <f t="shared" si="67"/>
        <v>0</v>
      </c>
      <c r="R91">
        <f t="shared" si="68"/>
        <v>0</v>
      </c>
      <c r="S91">
        <f t="shared" si="69"/>
        <v>0</v>
      </c>
      <c r="T91">
        <f t="shared" si="70"/>
        <v>0</v>
      </c>
      <c r="U91">
        <f t="shared" si="71"/>
        <v>0</v>
      </c>
      <c r="V91">
        <f t="shared" si="72"/>
        <v>0</v>
      </c>
      <c r="W91">
        <f t="shared" si="73"/>
        <v>0</v>
      </c>
      <c r="X91">
        <f t="shared" si="74"/>
        <v>0</v>
      </c>
      <c r="Y91">
        <f t="shared" si="75"/>
        <v>0</v>
      </c>
      <c r="AA91">
        <v>-1</v>
      </c>
      <c r="AB91">
        <f t="shared" si="76"/>
        <v>32830</v>
      </c>
      <c r="AC91">
        <f t="shared" si="77"/>
        <v>32830</v>
      </c>
      <c r="AD91">
        <f t="shared" si="78"/>
        <v>0</v>
      </c>
      <c r="AE91">
        <f t="shared" si="79"/>
        <v>0</v>
      </c>
      <c r="AF91">
        <f t="shared" si="80"/>
        <v>0</v>
      </c>
      <c r="AG91">
        <f t="shared" si="81"/>
        <v>0</v>
      </c>
      <c r="AH91">
        <f t="shared" si="82"/>
        <v>0</v>
      </c>
      <c r="AI91">
        <f t="shared" si="83"/>
        <v>0</v>
      </c>
      <c r="AJ91">
        <f t="shared" si="84"/>
        <v>0</v>
      </c>
      <c r="AK91">
        <v>32830</v>
      </c>
      <c r="AL91">
        <v>32830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147</v>
      </c>
      <c r="AU91">
        <v>134</v>
      </c>
      <c r="AV91">
        <v>1</v>
      </c>
      <c r="AW91">
        <v>1</v>
      </c>
      <c r="AZ91">
        <v>1</v>
      </c>
      <c r="BA91">
        <v>1</v>
      </c>
      <c r="BB91">
        <v>1</v>
      </c>
      <c r="BC91">
        <v>16.04</v>
      </c>
      <c r="BD91" t="s">
        <v>3</v>
      </c>
      <c r="BE91" t="s">
        <v>3</v>
      </c>
      <c r="BF91" t="s">
        <v>3</v>
      </c>
      <c r="BG91" t="s">
        <v>3</v>
      </c>
      <c r="BH91">
        <v>3</v>
      </c>
      <c r="BI91">
        <v>1</v>
      </c>
      <c r="BJ91" t="s">
        <v>186</v>
      </c>
      <c r="BM91">
        <v>27001</v>
      </c>
      <c r="BN91">
        <v>0</v>
      </c>
      <c r="BO91" t="s">
        <v>184</v>
      </c>
      <c r="BP91">
        <v>1</v>
      </c>
      <c r="BQ91">
        <v>2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147</v>
      </c>
      <c r="CA91">
        <v>134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85"/>
        <v>-1280.49</v>
      </c>
      <c r="CQ91">
        <f t="shared" si="86"/>
        <v>526593.19999999995</v>
      </c>
      <c r="CR91">
        <f t="shared" si="87"/>
        <v>0</v>
      </c>
      <c r="CS91">
        <f t="shared" si="88"/>
        <v>0</v>
      </c>
      <c r="CT91">
        <f t="shared" si="89"/>
        <v>0</v>
      </c>
      <c r="CU91">
        <f t="shared" si="90"/>
        <v>0</v>
      </c>
      <c r="CV91">
        <f t="shared" si="91"/>
        <v>0</v>
      </c>
      <c r="CW91">
        <f t="shared" si="92"/>
        <v>0</v>
      </c>
      <c r="CX91">
        <f t="shared" si="93"/>
        <v>0</v>
      </c>
      <c r="CY91">
        <f t="shared" si="103"/>
        <v>0</v>
      </c>
      <c r="CZ91">
        <f t="shared" si="104"/>
        <v>0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1009</v>
      </c>
      <c r="DV91" t="s">
        <v>170</v>
      </c>
      <c r="DW91" t="s">
        <v>170</v>
      </c>
      <c r="DX91">
        <v>1000</v>
      </c>
      <c r="DZ91" t="s">
        <v>3</v>
      </c>
      <c r="EA91" t="s">
        <v>3</v>
      </c>
      <c r="EB91" t="s">
        <v>3</v>
      </c>
      <c r="EC91" t="s">
        <v>3</v>
      </c>
      <c r="EE91">
        <v>92109440</v>
      </c>
      <c r="EF91">
        <v>2</v>
      </c>
      <c r="EG91" t="s">
        <v>21</v>
      </c>
      <c r="EH91">
        <v>21</v>
      </c>
      <c r="EI91" t="s">
        <v>161</v>
      </c>
      <c r="EJ91">
        <v>1</v>
      </c>
      <c r="EK91">
        <v>27001</v>
      </c>
      <c r="EL91" t="s">
        <v>161</v>
      </c>
      <c r="EM91" t="s">
        <v>162</v>
      </c>
      <c r="EO91" t="s">
        <v>3</v>
      </c>
      <c r="EQ91">
        <v>1024</v>
      </c>
      <c r="ER91">
        <v>32830</v>
      </c>
      <c r="ES91">
        <v>32830</v>
      </c>
      <c r="ET91">
        <v>0</v>
      </c>
      <c r="EU91">
        <v>0</v>
      </c>
      <c r="EV91">
        <v>0</v>
      </c>
      <c r="EW91">
        <v>0</v>
      </c>
      <c r="EX91">
        <v>0</v>
      </c>
      <c r="FQ91">
        <v>0</v>
      </c>
      <c r="FR91">
        <f t="shared" si="94"/>
        <v>0</v>
      </c>
      <c r="FS91">
        <v>0</v>
      </c>
      <c r="FX91">
        <v>147</v>
      </c>
      <c r="FY91">
        <v>134</v>
      </c>
      <c r="GA91" t="s">
        <v>3</v>
      </c>
      <c r="GD91">
        <v>1</v>
      </c>
      <c r="GF91">
        <v>1604094993</v>
      </c>
      <c r="GG91">
        <v>2</v>
      </c>
      <c r="GH91">
        <v>1</v>
      </c>
      <c r="GI91">
        <v>2</v>
      </c>
      <c r="GJ91">
        <v>0</v>
      </c>
      <c r="GK91">
        <v>0</v>
      </c>
      <c r="GL91">
        <f t="shared" si="95"/>
        <v>0</v>
      </c>
      <c r="GM91">
        <f t="shared" si="96"/>
        <v>-1280.49</v>
      </c>
      <c r="GN91">
        <f t="shared" si="97"/>
        <v>-1280.49</v>
      </c>
      <c r="GO91">
        <f t="shared" si="98"/>
        <v>0</v>
      </c>
      <c r="GP91">
        <f t="shared" si="99"/>
        <v>0</v>
      </c>
      <c r="GR91">
        <v>0</v>
      </c>
      <c r="GS91">
        <v>3</v>
      </c>
      <c r="GT91">
        <v>0</v>
      </c>
      <c r="GU91" t="s">
        <v>3</v>
      </c>
      <c r="GV91">
        <f t="shared" si="100"/>
        <v>0</v>
      </c>
      <c r="GW91">
        <v>1</v>
      </c>
      <c r="GX91">
        <f t="shared" si="101"/>
        <v>0</v>
      </c>
      <c r="HA91">
        <v>0</v>
      </c>
      <c r="HB91">
        <v>0</v>
      </c>
      <c r="HC91">
        <f t="shared" si="102"/>
        <v>0</v>
      </c>
      <c r="HE91" t="s">
        <v>3</v>
      </c>
      <c r="HF91" t="s">
        <v>3</v>
      </c>
      <c r="HM91" t="s">
        <v>3</v>
      </c>
      <c r="HN91" t="s">
        <v>163</v>
      </c>
      <c r="HO91" t="s">
        <v>164</v>
      </c>
      <c r="HP91" t="s">
        <v>161</v>
      </c>
      <c r="HQ91" t="s">
        <v>161</v>
      </c>
      <c r="IK91">
        <v>0</v>
      </c>
    </row>
    <row r="92" spans="1:245" x14ac:dyDescent="0.2">
      <c r="A92">
        <v>18</v>
      </c>
      <c r="B92">
        <v>1</v>
      </c>
      <c r="C92">
        <v>56</v>
      </c>
      <c r="E92" t="s">
        <v>3</v>
      </c>
      <c r="F92" t="s">
        <v>187</v>
      </c>
      <c r="G92" t="s">
        <v>188</v>
      </c>
      <c r="H92" t="s">
        <v>52</v>
      </c>
      <c r="I92">
        <f>I84*J92</f>
        <v>-8.105500000000001</v>
      </c>
      <c r="J92">
        <v>-1.3</v>
      </c>
      <c r="K92">
        <v>-1.3</v>
      </c>
      <c r="O92">
        <f t="shared" si="65"/>
        <v>-961.44</v>
      </c>
      <c r="P92">
        <f t="shared" si="66"/>
        <v>-961.44</v>
      </c>
      <c r="Q92">
        <f t="shared" si="67"/>
        <v>0</v>
      </c>
      <c r="R92">
        <f t="shared" si="68"/>
        <v>0</v>
      </c>
      <c r="S92">
        <f t="shared" si="69"/>
        <v>0</v>
      </c>
      <c r="T92">
        <f t="shared" si="70"/>
        <v>0</v>
      </c>
      <c r="U92">
        <f t="shared" si="71"/>
        <v>0</v>
      </c>
      <c r="V92">
        <f t="shared" si="72"/>
        <v>0</v>
      </c>
      <c r="W92">
        <f t="shared" si="73"/>
        <v>0</v>
      </c>
      <c r="X92">
        <f t="shared" si="74"/>
        <v>0</v>
      </c>
      <c r="Y92">
        <f t="shared" si="75"/>
        <v>0</v>
      </c>
      <c r="AA92">
        <v>-1</v>
      </c>
      <c r="AB92">
        <f t="shared" si="76"/>
        <v>6.22</v>
      </c>
      <c r="AC92">
        <f t="shared" si="77"/>
        <v>6.22</v>
      </c>
      <c r="AD92">
        <f t="shared" si="78"/>
        <v>0</v>
      </c>
      <c r="AE92">
        <f t="shared" si="79"/>
        <v>0</v>
      </c>
      <c r="AF92">
        <f t="shared" si="80"/>
        <v>0</v>
      </c>
      <c r="AG92">
        <f t="shared" si="81"/>
        <v>0</v>
      </c>
      <c r="AH92">
        <f t="shared" si="82"/>
        <v>0</v>
      </c>
      <c r="AI92">
        <f t="shared" si="83"/>
        <v>0</v>
      </c>
      <c r="AJ92">
        <f t="shared" si="84"/>
        <v>0</v>
      </c>
      <c r="AK92">
        <v>6.22</v>
      </c>
      <c r="AL92">
        <v>6.22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147</v>
      </c>
      <c r="AU92">
        <v>134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19.07</v>
      </c>
      <c r="BD92" t="s">
        <v>3</v>
      </c>
      <c r="BE92" t="s">
        <v>3</v>
      </c>
      <c r="BF92" t="s">
        <v>3</v>
      </c>
      <c r="BG92" t="s">
        <v>3</v>
      </c>
      <c r="BH92">
        <v>3</v>
      </c>
      <c r="BI92">
        <v>1</v>
      </c>
      <c r="BJ92" t="s">
        <v>189</v>
      </c>
      <c r="BM92">
        <v>27001</v>
      </c>
      <c r="BN92">
        <v>0</v>
      </c>
      <c r="BO92" t="s">
        <v>187</v>
      </c>
      <c r="BP92">
        <v>1</v>
      </c>
      <c r="BQ92">
        <v>2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147</v>
      </c>
      <c r="CA92">
        <v>134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85"/>
        <v>-961.44</v>
      </c>
      <c r="CQ92">
        <f t="shared" si="86"/>
        <v>118.61539999999999</v>
      </c>
      <c r="CR92">
        <f t="shared" si="87"/>
        <v>0</v>
      </c>
      <c r="CS92">
        <f t="shared" si="88"/>
        <v>0</v>
      </c>
      <c r="CT92">
        <f t="shared" si="89"/>
        <v>0</v>
      </c>
      <c r="CU92">
        <f t="shared" si="90"/>
        <v>0</v>
      </c>
      <c r="CV92">
        <f t="shared" si="91"/>
        <v>0</v>
      </c>
      <c r="CW92">
        <f t="shared" si="92"/>
        <v>0</v>
      </c>
      <c r="CX92">
        <f t="shared" si="93"/>
        <v>0</v>
      </c>
      <c r="CY92">
        <f t="shared" si="103"/>
        <v>0</v>
      </c>
      <c r="CZ92">
        <f t="shared" si="104"/>
        <v>0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1007</v>
      </c>
      <c r="DV92" t="s">
        <v>52</v>
      </c>
      <c r="DW92" t="s">
        <v>52</v>
      </c>
      <c r="DX92">
        <v>1</v>
      </c>
      <c r="DZ92" t="s">
        <v>3</v>
      </c>
      <c r="EA92" t="s">
        <v>3</v>
      </c>
      <c r="EB92" t="s">
        <v>3</v>
      </c>
      <c r="EC92" t="s">
        <v>3</v>
      </c>
      <c r="EE92">
        <v>92109440</v>
      </c>
      <c r="EF92">
        <v>2</v>
      </c>
      <c r="EG92" t="s">
        <v>21</v>
      </c>
      <c r="EH92">
        <v>21</v>
      </c>
      <c r="EI92" t="s">
        <v>161</v>
      </c>
      <c r="EJ92">
        <v>1</v>
      </c>
      <c r="EK92">
        <v>27001</v>
      </c>
      <c r="EL92" t="s">
        <v>161</v>
      </c>
      <c r="EM92" t="s">
        <v>162</v>
      </c>
      <c r="EO92" t="s">
        <v>3</v>
      </c>
      <c r="EQ92">
        <v>1024</v>
      </c>
      <c r="ER92">
        <v>6.22</v>
      </c>
      <c r="ES92">
        <v>6.22</v>
      </c>
      <c r="ET92">
        <v>0</v>
      </c>
      <c r="EU92">
        <v>0</v>
      </c>
      <c r="EV92">
        <v>0</v>
      </c>
      <c r="EW92">
        <v>0</v>
      </c>
      <c r="EX92">
        <v>0</v>
      </c>
      <c r="FQ92">
        <v>0</v>
      </c>
      <c r="FR92">
        <f t="shared" si="94"/>
        <v>0</v>
      </c>
      <c r="FS92">
        <v>0</v>
      </c>
      <c r="FX92">
        <v>147</v>
      </c>
      <c r="FY92">
        <v>134</v>
      </c>
      <c r="GA92" t="s">
        <v>3</v>
      </c>
      <c r="GD92">
        <v>1</v>
      </c>
      <c r="GF92">
        <v>-821751618</v>
      </c>
      <c r="GG92">
        <v>2</v>
      </c>
      <c r="GH92">
        <v>1</v>
      </c>
      <c r="GI92">
        <v>2</v>
      </c>
      <c r="GJ92">
        <v>0</v>
      </c>
      <c r="GK92">
        <v>0</v>
      </c>
      <c r="GL92">
        <f t="shared" si="95"/>
        <v>0</v>
      </c>
      <c r="GM92">
        <f t="shared" si="96"/>
        <v>-961.44</v>
      </c>
      <c r="GN92">
        <f t="shared" si="97"/>
        <v>-961.44</v>
      </c>
      <c r="GO92">
        <f t="shared" si="98"/>
        <v>0</v>
      </c>
      <c r="GP92">
        <f t="shared" si="99"/>
        <v>0</v>
      </c>
      <c r="GR92">
        <v>0</v>
      </c>
      <c r="GS92">
        <v>3</v>
      </c>
      <c r="GT92">
        <v>0</v>
      </c>
      <c r="GU92" t="s">
        <v>3</v>
      </c>
      <c r="GV92">
        <f t="shared" si="100"/>
        <v>0</v>
      </c>
      <c r="GW92">
        <v>1</v>
      </c>
      <c r="GX92">
        <f t="shared" si="101"/>
        <v>0</v>
      </c>
      <c r="HA92">
        <v>0</v>
      </c>
      <c r="HB92">
        <v>0</v>
      </c>
      <c r="HC92">
        <f t="shared" si="102"/>
        <v>0</v>
      </c>
      <c r="HE92" t="s">
        <v>3</v>
      </c>
      <c r="HF92" t="s">
        <v>3</v>
      </c>
      <c r="HM92" t="s">
        <v>3</v>
      </c>
      <c r="HN92" t="s">
        <v>163</v>
      </c>
      <c r="HO92" t="s">
        <v>164</v>
      </c>
      <c r="HP92" t="s">
        <v>161</v>
      </c>
      <c r="HQ92" t="s">
        <v>161</v>
      </c>
      <c r="IK92">
        <v>0</v>
      </c>
    </row>
    <row r="93" spans="1:245" x14ac:dyDescent="0.2">
      <c r="A93">
        <v>18</v>
      </c>
      <c r="B93">
        <v>1</v>
      </c>
      <c r="C93">
        <v>62</v>
      </c>
      <c r="E93" t="s">
        <v>3</v>
      </c>
      <c r="F93" t="s">
        <v>190</v>
      </c>
      <c r="G93" t="s">
        <v>191</v>
      </c>
      <c r="H93" t="s">
        <v>192</v>
      </c>
      <c r="I93">
        <f>I84*J93</f>
        <v>-11.908849999999999</v>
      </c>
      <c r="J93">
        <v>-1.9099999999999997</v>
      </c>
      <c r="K93">
        <v>-1.91</v>
      </c>
      <c r="O93">
        <f t="shared" si="65"/>
        <v>-2466.64</v>
      </c>
      <c r="P93">
        <f t="shared" si="66"/>
        <v>-2466.64</v>
      </c>
      <c r="Q93">
        <f t="shared" si="67"/>
        <v>0</v>
      </c>
      <c r="R93">
        <f t="shared" si="68"/>
        <v>0</v>
      </c>
      <c r="S93">
        <f t="shared" si="69"/>
        <v>0</v>
      </c>
      <c r="T93">
        <f t="shared" si="70"/>
        <v>0</v>
      </c>
      <c r="U93">
        <f t="shared" si="71"/>
        <v>0</v>
      </c>
      <c r="V93">
        <f t="shared" si="72"/>
        <v>0</v>
      </c>
      <c r="W93">
        <f t="shared" si="73"/>
        <v>0</v>
      </c>
      <c r="X93">
        <f t="shared" si="74"/>
        <v>0</v>
      </c>
      <c r="Y93">
        <f t="shared" si="75"/>
        <v>0</v>
      </c>
      <c r="AA93">
        <v>-1</v>
      </c>
      <c r="AB93">
        <f t="shared" si="76"/>
        <v>61.28</v>
      </c>
      <c r="AC93">
        <f t="shared" si="77"/>
        <v>61.28</v>
      </c>
      <c r="AD93">
        <f t="shared" si="78"/>
        <v>0</v>
      </c>
      <c r="AE93">
        <f t="shared" si="79"/>
        <v>0</v>
      </c>
      <c r="AF93">
        <f t="shared" si="80"/>
        <v>0</v>
      </c>
      <c r="AG93">
        <f t="shared" si="81"/>
        <v>0</v>
      </c>
      <c r="AH93">
        <f t="shared" si="82"/>
        <v>0</v>
      </c>
      <c r="AI93">
        <f t="shared" si="83"/>
        <v>0</v>
      </c>
      <c r="AJ93">
        <f t="shared" si="84"/>
        <v>0</v>
      </c>
      <c r="AK93">
        <v>61.28</v>
      </c>
      <c r="AL93">
        <v>61.28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147</v>
      </c>
      <c r="AU93">
        <v>134</v>
      </c>
      <c r="AV93">
        <v>1</v>
      </c>
      <c r="AW93">
        <v>1</v>
      </c>
      <c r="AZ93">
        <v>1</v>
      </c>
      <c r="BA93">
        <v>1</v>
      </c>
      <c r="BB93">
        <v>1</v>
      </c>
      <c r="BC93">
        <v>3.38</v>
      </c>
      <c r="BD93" t="s">
        <v>3</v>
      </c>
      <c r="BE93" t="s">
        <v>3</v>
      </c>
      <c r="BF93" t="s">
        <v>3</v>
      </c>
      <c r="BG93" t="s">
        <v>3</v>
      </c>
      <c r="BH93">
        <v>3</v>
      </c>
      <c r="BI93">
        <v>1</v>
      </c>
      <c r="BJ93" t="s">
        <v>193</v>
      </c>
      <c r="BM93">
        <v>27001</v>
      </c>
      <c r="BN93">
        <v>0</v>
      </c>
      <c r="BO93" t="s">
        <v>190</v>
      </c>
      <c r="BP93">
        <v>1</v>
      </c>
      <c r="BQ93">
        <v>2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147</v>
      </c>
      <c r="CA93">
        <v>134</v>
      </c>
      <c r="CB93" t="s">
        <v>3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85"/>
        <v>-2466.64</v>
      </c>
      <c r="CQ93">
        <f t="shared" si="86"/>
        <v>207.12639999999999</v>
      </c>
      <c r="CR93">
        <f t="shared" si="87"/>
        <v>0</v>
      </c>
      <c r="CS93">
        <f t="shared" si="88"/>
        <v>0</v>
      </c>
      <c r="CT93">
        <f t="shared" si="89"/>
        <v>0</v>
      </c>
      <c r="CU93">
        <f t="shared" si="90"/>
        <v>0</v>
      </c>
      <c r="CV93">
        <f t="shared" si="91"/>
        <v>0</v>
      </c>
      <c r="CW93">
        <f t="shared" si="92"/>
        <v>0</v>
      </c>
      <c r="CX93">
        <f t="shared" si="93"/>
        <v>0</v>
      </c>
      <c r="CY93">
        <f t="shared" si="103"/>
        <v>0</v>
      </c>
      <c r="CZ93">
        <f t="shared" si="104"/>
        <v>0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1009</v>
      </c>
      <c r="DV93" t="s">
        <v>192</v>
      </c>
      <c r="DW93" t="s">
        <v>192</v>
      </c>
      <c r="DX93">
        <v>1</v>
      </c>
      <c r="DZ93" t="s">
        <v>3</v>
      </c>
      <c r="EA93" t="s">
        <v>3</v>
      </c>
      <c r="EB93" t="s">
        <v>3</v>
      </c>
      <c r="EC93" t="s">
        <v>3</v>
      </c>
      <c r="EE93">
        <v>92109440</v>
      </c>
      <c r="EF93">
        <v>2</v>
      </c>
      <c r="EG93" t="s">
        <v>21</v>
      </c>
      <c r="EH93">
        <v>21</v>
      </c>
      <c r="EI93" t="s">
        <v>161</v>
      </c>
      <c r="EJ93">
        <v>1</v>
      </c>
      <c r="EK93">
        <v>27001</v>
      </c>
      <c r="EL93" t="s">
        <v>161</v>
      </c>
      <c r="EM93" t="s">
        <v>162</v>
      </c>
      <c r="EO93" t="s">
        <v>3</v>
      </c>
      <c r="EQ93">
        <v>1024</v>
      </c>
      <c r="ER93">
        <v>61.28</v>
      </c>
      <c r="ES93">
        <v>61.28</v>
      </c>
      <c r="ET93">
        <v>0</v>
      </c>
      <c r="EU93">
        <v>0</v>
      </c>
      <c r="EV93">
        <v>0</v>
      </c>
      <c r="EW93">
        <v>0</v>
      </c>
      <c r="EX93">
        <v>0</v>
      </c>
      <c r="FQ93">
        <v>0</v>
      </c>
      <c r="FR93">
        <f t="shared" si="94"/>
        <v>0</v>
      </c>
      <c r="FS93">
        <v>0</v>
      </c>
      <c r="FX93">
        <v>147</v>
      </c>
      <c r="FY93">
        <v>134</v>
      </c>
      <c r="GA93" t="s">
        <v>3</v>
      </c>
      <c r="GD93">
        <v>1</v>
      </c>
      <c r="GF93">
        <v>779270851</v>
      </c>
      <c r="GG93">
        <v>2</v>
      </c>
      <c r="GH93">
        <v>1</v>
      </c>
      <c r="GI93">
        <v>2</v>
      </c>
      <c r="GJ93">
        <v>0</v>
      </c>
      <c r="GK93">
        <v>0</v>
      </c>
      <c r="GL93">
        <f t="shared" si="95"/>
        <v>0</v>
      </c>
      <c r="GM93">
        <f t="shared" si="96"/>
        <v>-2466.64</v>
      </c>
      <c r="GN93">
        <f t="shared" si="97"/>
        <v>-2466.64</v>
      </c>
      <c r="GO93">
        <f t="shared" si="98"/>
        <v>0</v>
      </c>
      <c r="GP93">
        <f t="shared" si="99"/>
        <v>0</v>
      </c>
      <c r="GR93">
        <v>0</v>
      </c>
      <c r="GS93">
        <v>3</v>
      </c>
      <c r="GT93">
        <v>0</v>
      </c>
      <c r="GU93" t="s">
        <v>3</v>
      </c>
      <c r="GV93">
        <f t="shared" si="100"/>
        <v>0</v>
      </c>
      <c r="GW93">
        <v>1</v>
      </c>
      <c r="GX93">
        <f t="shared" si="101"/>
        <v>0</v>
      </c>
      <c r="HA93">
        <v>0</v>
      </c>
      <c r="HB93">
        <v>0</v>
      </c>
      <c r="HC93">
        <f t="shared" si="102"/>
        <v>0</v>
      </c>
      <c r="HE93" t="s">
        <v>3</v>
      </c>
      <c r="HF93" t="s">
        <v>3</v>
      </c>
      <c r="HM93" t="s">
        <v>3</v>
      </c>
      <c r="HN93" t="s">
        <v>163</v>
      </c>
      <c r="HO93" t="s">
        <v>164</v>
      </c>
      <c r="HP93" t="s">
        <v>161</v>
      </c>
      <c r="HQ93" t="s">
        <v>161</v>
      </c>
      <c r="IK93">
        <v>0</v>
      </c>
    </row>
    <row r="94" spans="1:245" x14ac:dyDescent="0.2">
      <c r="A94">
        <v>17</v>
      </c>
      <c r="B94">
        <v>1</v>
      </c>
      <c r="C94">
        <f>ROW(SmtRes!A80)</f>
        <v>80</v>
      </c>
      <c r="D94">
        <f>ROW(EtalonRes!A80)</f>
        <v>80</v>
      </c>
      <c r="E94" t="s">
        <v>194</v>
      </c>
      <c r="F94" t="s">
        <v>195</v>
      </c>
      <c r="G94" t="s">
        <v>196</v>
      </c>
      <c r="H94" t="s">
        <v>57</v>
      </c>
      <c r="I94">
        <f>ROUND(623.5/100,9)</f>
        <v>6.2350000000000003</v>
      </c>
      <c r="J94">
        <v>0</v>
      </c>
      <c r="K94">
        <f>ROUND(623.5/100,9)</f>
        <v>6.2350000000000003</v>
      </c>
      <c r="O94">
        <f t="shared" si="65"/>
        <v>917486.46</v>
      </c>
      <c r="P94">
        <f t="shared" si="66"/>
        <v>301795.94</v>
      </c>
      <c r="Q94">
        <f t="shared" si="67"/>
        <v>197490.62</v>
      </c>
      <c r="R94">
        <f t="shared" si="68"/>
        <v>54176.65</v>
      </c>
      <c r="S94">
        <f t="shared" si="69"/>
        <v>418199.9</v>
      </c>
      <c r="T94">
        <f t="shared" si="70"/>
        <v>0</v>
      </c>
      <c r="U94">
        <f t="shared" si="71"/>
        <v>1366.0261500000001</v>
      </c>
      <c r="V94">
        <f t="shared" si="72"/>
        <v>126.94460000000001</v>
      </c>
      <c r="W94">
        <f t="shared" si="73"/>
        <v>0</v>
      </c>
      <c r="X94">
        <f t="shared" si="74"/>
        <v>519614.21</v>
      </c>
      <c r="Y94">
        <f t="shared" si="75"/>
        <v>344834.88</v>
      </c>
      <c r="AA94">
        <v>94798619</v>
      </c>
      <c r="AB94">
        <f t="shared" si="76"/>
        <v>9209.24</v>
      </c>
      <c r="AC94">
        <f t="shared" si="77"/>
        <v>4579.33</v>
      </c>
      <c r="AD94">
        <f t="shared" si="78"/>
        <v>2728.21</v>
      </c>
      <c r="AE94">
        <f t="shared" si="79"/>
        <v>246.36</v>
      </c>
      <c r="AF94">
        <f t="shared" si="80"/>
        <v>1901.7</v>
      </c>
      <c r="AG94">
        <f t="shared" si="81"/>
        <v>0</v>
      </c>
      <c r="AH94">
        <f t="shared" si="82"/>
        <v>219.09</v>
      </c>
      <c r="AI94">
        <f t="shared" si="83"/>
        <v>20.36</v>
      </c>
      <c r="AJ94">
        <f t="shared" si="84"/>
        <v>0</v>
      </c>
      <c r="AK94">
        <v>9209.24</v>
      </c>
      <c r="AL94">
        <v>4579.33</v>
      </c>
      <c r="AM94">
        <v>2728.21</v>
      </c>
      <c r="AN94">
        <v>246.36</v>
      </c>
      <c r="AO94">
        <v>1901.7</v>
      </c>
      <c r="AP94">
        <v>0</v>
      </c>
      <c r="AQ94">
        <v>219.09</v>
      </c>
      <c r="AR94">
        <v>20.36</v>
      </c>
      <c r="AS94">
        <v>0</v>
      </c>
      <c r="AT94">
        <v>110</v>
      </c>
      <c r="AU94">
        <v>73</v>
      </c>
      <c r="AV94">
        <v>1</v>
      </c>
      <c r="AW94">
        <v>1</v>
      </c>
      <c r="AZ94">
        <v>1</v>
      </c>
      <c r="BA94">
        <v>35.270000000000003</v>
      </c>
      <c r="BB94">
        <v>11.61</v>
      </c>
      <c r="BC94">
        <v>10.57</v>
      </c>
      <c r="BD94" t="s">
        <v>3</v>
      </c>
      <c r="BE94" t="s">
        <v>3</v>
      </c>
      <c r="BF94" t="s">
        <v>3</v>
      </c>
      <c r="BG94" t="s">
        <v>3</v>
      </c>
      <c r="BH94">
        <v>0</v>
      </c>
      <c r="BI94">
        <v>1</v>
      </c>
      <c r="BJ94" t="s">
        <v>197</v>
      </c>
      <c r="BM94">
        <v>7001</v>
      </c>
      <c r="BN94">
        <v>0</v>
      </c>
      <c r="BO94" t="s">
        <v>195</v>
      </c>
      <c r="BP94">
        <v>1</v>
      </c>
      <c r="BQ94">
        <v>2</v>
      </c>
      <c r="BR94">
        <v>0</v>
      </c>
      <c r="BS94">
        <v>35.270000000000003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110</v>
      </c>
      <c r="CA94">
        <v>73</v>
      </c>
      <c r="CB94" t="s">
        <v>3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85"/>
        <v>917486.46</v>
      </c>
      <c r="CQ94">
        <f t="shared" si="86"/>
        <v>48403.518100000001</v>
      </c>
      <c r="CR94">
        <f t="shared" si="87"/>
        <v>31674.518099999998</v>
      </c>
      <c r="CS94">
        <f t="shared" si="88"/>
        <v>8689.1172000000006</v>
      </c>
      <c r="CT94">
        <f t="shared" si="89"/>
        <v>67072.959000000003</v>
      </c>
      <c r="CU94">
        <f t="shared" si="90"/>
        <v>0</v>
      </c>
      <c r="CV94">
        <f t="shared" si="91"/>
        <v>219.09</v>
      </c>
      <c r="CW94">
        <f t="shared" si="92"/>
        <v>20.36</v>
      </c>
      <c r="CX94">
        <f t="shared" si="93"/>
        <v>0</v>
      </c>
      <c r="CY94">
        <f t="shared" si="103"/>
        <v>519614.20500000007</v>
      </c>
      <c r="CZ94">
        <f t="shared" si="104"/>
        <v>344834.88150000008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1003</v>
      </c>
      <c r="DV94" t="s">
        <v>57</v>
      </c>
      <c r="DW94" t="s">
        <v>57</v>
      </c>
      <c r="DX94">
        <v>100</v>
      </c>
      <c r="DZ94" t="s">
        <v>3</v>
      </c>
      <c r="EA94" t="s">
        <v>3</v>
      </c>
      <c r="EB94" t="s">
        <v>3</v>
      </c>
      <c r="EC94" t="s">
        <v>3</v>
      </c>
      <c r="EE94">
        <v>92109389</v>
      </c>
      <c r="EF94">
        <v>2</v>
      </c>
      <c r="EG94" t="s">
        <v>21</v>
      </c>
      <c r="EH94">
        <v>7</v>
      </c>
      <c r="EI94" t="s">
        <v>60</v>
      </c>
      <c r="EJ94">
        <v>1</v>
      </c>
      <c r="EK94">
        <v>7001</v>
      </c>
      <c r="EL94" t="s">
        <v>60</v>
      </c>
      <c r="EM94" t="s">
        <v>61</v>
      </c>
      <c r="EO94" t="s">
        <v>3</v>
      </c>
      <c r="EQ94">
        <v>0</v>
      </c>
      <c r="ER94">
        <v>9209.24</v>
      </c>
      <c r="ES94">
        <v>4579.33</v>
      </c>
      <c r="ET94">
        <v>2728.21</v>
      </c>
      <c r="EU94">
        <v>246.36</v>
      </c>
      <c r="EV94">
        <v>1901.7</v>
      </c>
      <c r="EW94">
        <v>219.09</v>
      </c>
      <c r="EX94">
        <v>20.36</v>
      </c>
      <c r="EY94">
        <v>0</v>
      </c>
      <c r="FQ94">
        <v>0</v>
      </c>
      <c r="FR94">
        <f t="shared" si="94"/>
        <v>0</v>
      </c>
      <c r="FS94">
        <v>0</v>
      </c>
      <c r="FX94">
        <v>110</v>
      </c>
      <c r="FY94">
        <v>73</v>
      </c>
      <c r="GA94" t="s">
        <v>3</v>
      </c>
      <c r="GD94">
        <v>1</v>
      </c>
      <c r="GF94">
        <v>1259616610</v>
      </c>
      <c r="GG94">
        <v>2</v>
      </c>
      <c r="GH94">
        <v>1</v>
      </c>
      <c r="GI94">
        <v>2</v>
      </c>
      <c r="GJ94">
        <v>0</v>
      </c>
      <c r="GK94">
        <v>0</v>
      </c>
      <c r="GL94">
        <f t="shared" si="95"/>
        <v>0</v>
      </c>
      <c r="GM94">
        <f t="shared" si="96"/>
        <v>1781935.55</v>
      </c>
      <c r="GN94">
        <f t="shared" si="97"/>
        <v>1781935.55</v>
      </c>
      <c r="GO94">
        <f t="shared" si="98"/>
        <v>0</v>
      </c>
      <c r="GP94">
        <f t="shared" si="99"/>
        <v>0</v>
      </c>
      <c r="GR94">
        <v>0</v>
      </c>
      <c r="GS94">
        <v>3</v>
      </c>
      <c r="GT94">
        <v>0</v>
      </c>
      <c r="GU94" t="s">
        <v>3</v>
      </c>
      <c r="GV94">
        <f t="shared" si="100"/>
        <v>0</v>
      </c>
      <c r="GW94">
        <v>1</v>
      </c>
      <c r="GX94">
        <f t="shared" si="101"/>
        <v>0</v>
      </c>
      <c r="HA94">
        <v>0</v>
      </c>
      <c r="HB94">
        <v>0</v>
      </c>
      <c r="HC94">
        <f t="shared" si="102"/>
        <v>0</v>
      </c>
      <c r="HE94" t="s">
        <v>3</v>
      </c>
      <c r="HF94" t="s">
        <v>3</v>
      </c>
      <c r="HM94" t="s">
        <v>3</v>
      </c>
      <c r="HN94" t="s">
        <v>62</v>
      </c>
      <c r="HO94" t="s">
        <v>63</v>
      </c>
      <c r="HP94" t="s">
        <v>60</v>
      </c>
      <c r="HQ94" t="s">
        <v>60</v>
      </c>
      <c r="IK94">
        <v>0</v>
      </c>
    </row>
    <row r="95" spans="1:245" x14ac:dyDescent="0.2">
      <c r="A95">
        <v>18</v>
      </c>
      <c r="B95">
        <v>1</v>
      </c>
      <c r="C95">
        <v>79</v>
      </c>
      <c r="E95" t="s">
        <v>198</v>
      </c>
      <c r="F95" t="s">
        <v>65</v>
      </c>
      <c r="G95" t="s">
        <v>66</v>
      </c>
      <c r="H95" t="s">
        <v>47</v>
      </c>
      <c r="I95">
        <f>I94*J95</f>
        <v>183.9325</v>
      </c>
      <c r="J95">
        <v>29.5</v>
      </c>
      <c r="K95">
        <v>29.5</v>
      </c>
      <c r="O95">
        <f t="shared" si="65"/>
        <v>0</v>
      </c>
      <c r="P95">
        <f t="shared" si="66"/>
        <v>0</v>
      </c>
      <c r="Q95">
        <f t="shared" si="67"/>
        <v>0</v>
      </c>
      <c r="R95">
        <f t="shared" si="68"/>
        <v>0</v>
      </c>
      <c r="S95">
        <f t="shared" si="69"/>
        <v>0</v>
      </c>
      <c r="T95">
        <f t="shared" si="70"/>
        <v>0</v>
      </c>
      <c r="U95">
        <f t="shared" si="71"/>
        <v>0</v>
      </c>
      <c r="V95">
        <f t="shared" si="72"/>
        <v>0</v>
      </c>
      <c r="W95">
        <f t="shared" si="73"/>
        <v>0</v>
      </c>
      <c r="X95">
        <f t="shared" si="74"/>
        <v>0</v>
      </c>
      <c r="Y95">
        <f t="shared" si="75"/>
        <v>0</v>
      </c>
      <c r="AA95">
        <v>94798619</v>
      </c>
      <c r="AB95">
        <f t="shared" si="76"/>
        <v>0</v>
      </c>
      <c r="AC95">
        <f t="shared" si="77"/>
        <v>0</v>
      </c>
      <c r="AD95">
        <f t="shared" si="78"/>
        <v>0</v>
      </c>
      <c r="AE95">
        <f t="shared" si="79"/>
        <v>0</v>
      </c>
      <c r="AF95">
        <f t="shared" si="80"/>
        <v>0</v>
      </c>
      <c r="AG95">
        <f t="shared" si="81"/>
        <v>0</v>
      </c>
      <c r="AH95">
        <f t="shared" si="82"/>
        <v>0</v>
      </c>
      <c r="AI95">
        <f t="shared" si="83"/>
        <v>0</v>
      </c>
      <c r="AJ95">
        <f t="shared" si="84"/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110</v>
      </c>
      <c r="AU95">
        <v>73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1</v>
      </c>
      <c r="BD95" t="s">
        <v>3</v>
      </c>
      <c r="BE95" t="s">
        <v>3</v>
      </c>
      <c r="BF95" t="s">
        <v>3</v>
      </c>
      <c r="BG95" t="s">
        <v>3</v>
      </c>
      <c r="BH95">
        <v>3</v>
      </c>
      <c r="BI95">
        <v>1</v>
      </c>
      <c r="BJ95" t="s">
        <v>67</v>
      </c>
      <c r="BM95">
        <v>7001</v>
      </c>
      <c r="BN95">
        <v>0</v>
      </c>
      <c r="BO95" t="s">
        <v>3</v>
      </c>
      <c r="BP95">
        <v>0</v>
      </c>
      <c r="BQ95">
        <v>2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110</v>
      </c>
      <c r="CA95">
        <v>73</v>
      </c>
      <c r="CB95" t="s">
        <v>3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85"/>
        <v>0</v>
      </c>
      <c r="CQ95">
        <f t="shared" si="86"/>
        <v>0</v>
      </c>
      <c r="CR95">
        <f t="shared" si="87"/>
        <v>0</v>
      </c>
      <c r="CS95">
        <f t="shared" si="88"/>
        <v>0</v>
      </c>
      <c r="CT95">
        <f t="shared" si="89"/>
        <v>0</v>
      </c>
      <c r="CU95">
        <f t="shared" si="90"/>
        <v>0</v>
      </c>
      <c r="CV95">
        <f t="shared" si="91"/>
        <v>0</v>
      </c>
      <c r="CW95">
        <f t="shared" si="92"/>
        <v>0</v>
      </c>
      <c r="CX95">
        <f t="shared" si="93"/>
        <v>0</v>
      </c>
      <c r="CY95">
        <f t="shared" si="103"/>
        <v>0</v>
      </c>
      <c r="CZ95">
        <f t="shared" si="104"/>
        <v>0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1010</v>
      </c>
      <c r="DV95" t="s">
        <v>47</v>
      </c>
      <c r="DW95" t="s">
        <v>47</v>
      </c>
      <c r="DX95">
        <v>1</v>
      </c>
      <c r="DZ95" t="s">
        <v>3</v>
      </c>
      <c r="EA95" t="s">
        <v>3</v>
      </c>
      <c r="EB95" t="s">
        <v>3</v>
      </c>
      <c r="EC95" t="s">
        <v>3</v>
      </c>
      <c r="EE95">
        <v>92109389</v>
      </c>
      <c r="EF95">
        <v>2</v>
      </c>
      <c r="EG95" t="s">
        <v>21</v>
      </c>
      <c r="EH95">
        <v>7</v>
      </c>
      <c r="EI95" t="s">
        <v>60</v>
      </c>
      <c r="EJ95">
        <v>1</v>
      </c>
      <c r="EK95">
        <v>7001</v>
      </c>
      <c r="EL95" t="s">
        <v>60</v>
      </c>
      <c r="EM95" t="s">
        <v>61</v>
      </c>
      <c r="EO95" t="s">
        <v>3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FQ95">
        <v>0</v>
      </c>
      <c r="FR95">
        <f t="shared" si="94"/>
        <v>0</v>
      </c>
      <c r="FS95">
        <v>0</v>
      </c>
      <c r="FX95">
        <v>110</v>
      </c>
      <c r="FY95">
        <v>73</v>
      </c>
      <c r="GA95" t="s">
        <v>3</v>
      </c>
      <c r="GD95">
        <v>1</v>
      </c>
      <c r="GF95">
        <v>821785432</v>
      </c>
      <c r="GG95">
        <v>2</v>
      </c>
      <c r="GH95">
        <v>1</v>
      </c>
      <c r="GI95">
        <v>-2</v>
      </c>
      <c r="GJ95">
        <v>0</v>
      </c>
      <c r="GK95">
        <v>0</v>
      </c>
      <c r="GL95">
        <f t="shared" si="95"/>
        <v>0</v>
      </c>
      <c r="GM95">
        <f t="shared" si="96"/>
        <v>0</v>
      </c>
      <c r="GN95">
        <f t="shared" si="97"/>
        <v>0</v>
      </c>
      <c r="GO95">
        <f t="shared" si="98"/>
        <v>0</v>
      </c>
      <c r="GP95">
        <f t="shared" si="99"/>
        <v>0</v>
      </c>
      <c r="GR95">
        <v>0</v>
      </c>
      <c r="GS95">
        <v>3</v>
      </c>
      <c r="GT95">
        <v>0</v>
      </c>
      <c r="GU95" t="s">
        <v>3</v>
      </c>
      <c r="GV95">
        <f t="shared" si="100"/>
        <v>0</v>
      </c>
      <c r="GW95">
        <v>1</v>
      </c>
      <c r="GX95">
        <f t="shared" si="101"/>
        <v>0</v>
      </c>
      <c r="HA95">
        <v>0</v>
      </c>
      <c r="HB95">
        <v>0</v>
      </c>
      <c r="HC95">
        <f t="shared" si="102"/>
        <v>0</v>
      </c>
      <c r="HE95" t="s">
        <v>3</v>
      </c>
      <c r="HF95" t="s">
        <v>3</v>
      </c>
      <c r="HM95" t="s">
        <v>3</v>
      </c>
      <c r="HN95" t="s">
        <v>62</v>
      </c>
      <c r="HO95" t="s">
        <v>63</v>
      </c>
      <c r="HP95" t="s">
        <v>60</v>
      </c>
      <c r="HQ95" t="s">
        <v>60</v>
      </c>
      <c r="IK95">
        <v>0</v>
      </c>
    </row>
    <row r="96" spans="1:245" x14ac:dyDescent="0.2">
      <c r="A96">
        <v>17</v>
      </c>
      <c r="B96">
        <v>1</v>
      </c>
      <c r="E96" t="s">
        <v>3</v>
      </c>
      <c r="F96" t="s">
        <v>199</v>
      </c>
      <c r="G96" t="s">
        <v>200</v>
      </c>
      <c r="H96" t="s">
        <v>201</v>
      </c>
      <c r="I96">
        <v>935.25</v>
      </c>
      <c r="J96">
        <v>0</v>
      </c>
      <c r="K96">
        <v>935.25</v>
      </c>
      <c r="O96">
        <f t="shared" si="65"/>
        <v>172079.27</v>
      </c>
      <c r="P96">
        <f t="shared" si="66"/>
        <v>172079.27</v>
      </c>
      <c r="Q96">
        <f t="shared" si="67"/>
        <v>0</v>
      </c>
      <c r="R96">
        <f t="shared" si="68"/>
        <v>0</v>
      </c>
      <c r="S96">
        <f t="shared" si="69"/>
        <v>0</v>
      </c>
      <c r="T96">
        <f t="shared" si="70"/>
        <v>0</v>
      </c>
      <c r="U96">
        <f t="shared" si="71"/>
        <v>0</v>
      </c>
      <c r="V96">
        <f t="shared" si="72"/>
        <v>0</v>
      </c>
      <c r="W96">
        <f t="shared" si="73"/>
        <v>0</v>
      </c>
      <c r="X96">
        <f t="shared" si="74"/>
        <v>0</v>
      </c>
      <c r="Y96">
        <f t="shared" si="75"/>
        <v>0</v>
      </c>
      <c r="AA96">
        <v>-1</v>
      </c>
      <c r="AB96">
        <f t="shared" si="76"/>
        <v>26.36</v>
      </c>
      <c r="AC96">
        <f t="shared" si="77"/>
        <v>26.36</v>
      </c>
      <c r="AD96">
        <f t="shared" si="78"/>
        <v>0</v>
      </c>
      <c r="AE96">
        <f t="shared" si="79"/>
        <v>0</v>
      </c>
      <c r="AF96">
        <f t="shared" si="80"/>
        <v>0</v>
      </c>
      <c r="AG96">
        <f t="shared" si="81"/>
        <v>0</v>
      </c>
      <c r="AH96">
        <f t="shared" si="82"/>
        <v>0</v>
      </c>
      <c r="AI96">
        <f t="shared" si="83"/>
        <v>0</v>
      </c>
      <c r="AJ96">
        <f t="shared" si="84"/>
        <v>0</v>
      </c>
      <c r="AK96">
        <v>26.36</v>
      </c>
      <c r="AL96">
        <v>26.36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</v>
      </c>
      <c r="AW96">
        <v>1</v>
      </c>
      <c r="AZ96">
        <v>1</v>
      </c>
      <c r="BA96">
        <v>1</v>
      </c>
      <c r="BB96">
        <v>1</v>
      </c>
      <c r="BC96">
        <v>6.98</v>
      </c>
      <c r="BD96" t="s">
        <v>3</v>
      </c>
      <c r="BE96" t="s">
        <v>3</v>
      </c>
      <c r="BF96" t="s">
        <v>3</v>
      </c>
      <c r="BG96" t="s">
        <v>3</v>
      </c>
      <c r="BH96">
        <v>3</v>
      </c>
      <c r="BI96">
        <v>1</v>
      </c>
      <c r="BJ96" t="s">
        <v>202</v>
      </c>
      <c r="BM96">
        <v>500001</v>
      </c>
      <c r="BN96">
        <v>0</v>
      </c>
      <c r="BO96" t="s">
        <v>199</v>
      </c>
      <c r="BP96">
        <v>1</v>
      </c>
      <c r="BQ96">
        <v>8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0</v>
      </c>
      <c r="CA96">
        <v>0</v>
      </c>
      <c r="CB96" t="s">
        <v>3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85"/>
        <v>172079.27</v>
      </c>
      <c r="CQ96">
        <f t="shared" si="86"/>
        <v>183.99280000000002</v>
      </c>
      <c r="CR96">
        <f t="shared" si="87"/>
        <v>0</v>
      </c>
      <c r="CS96">
        <f t="shared" si="88"/>
        <v>0</v>
      </c>
      <c r="CT96">
        <f t="shared" si="89"/>
        <v>0</v>
      </c>
      <c r="CU96">
        <f t="shared" si="90"/>
        <v>0</v>
      </c>
      <c r="CV96">
        <f t="shared" si="91"/>
        <v>0</v>
      </c>
      <c r="CW96">
        <f t="shared" si="92"/>
        <v>0</v>
      </c>
      <c r="CX96">
        <f t="shared" si="93"/>
        <v>0</v>
      </c>
      <c r="CY96">
        <f>0</f>
        <v>0</v>
      </c>
      <c r="CZ96">
        <f>0</f>
        <v>0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1005</v>
      </c>
      <c r="DV96" t="s">
        <v>201</v>
      </c>
      <c r="DW96" t="s">
        <v>201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92109332</v>
      </c>
      <c r="EF96">
        <v>8</v>
      </c>
      <c r="EG96" t="s">
        <v>154</v>
      </c>
      <c r="EH96">
        <v>0</v>
      </c>
      <c r="EI96" t="s">
        <v>3</v>
      </c>
      <c r="EJ96">
        <v>1</v>
      </c>
      <c r="EK96">
        <v>500001</v>
      </c>
      <c r="EL96" t="s">
        <v>155</v>
      </c>
      <c r="EM96" t="s">
        <v>156</v>
      </c>
      <c r="EO96" t="s">
        <v>3</v>
      </c>
      <c r="EQ96">
        <v>1024</v>
      </c>
      <c r="ER96">
        <v>26.36</v>
      </c>
      <c r="ES96">
        <v>26.36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FQ96">
        <v>0</v>
      </c>
      <c r="FR96">
        <f t="shared" si="94"/>
        <v>0</v>
      </c>
      <c r="FS96">
        <v>0</v>
      </c>
      <c r="FX96">
        <v>0</v>
      </c>
      <c r="FY96">
        <v>0</v>
      </c>
      <c r="GA96" t="s">
        <v>3</v>
      </c>
      <c r="GD96">
        <v>1</v>
      </c>
      <c r="GF96">
        <v>-838842513</v>
      </c>
      <c r="GG96">
        <v>2</v>
      </c>
      <c r="GH96">
        <v>1</v>
      </c>
      <c r="GI96">
        <v>2</v>
      </c>
      <c r="GJ96">
        <v>0</v>
      </c>
      <c r="GK96">
        <v>0</v>
      </c>
      <c r="GL96">
        <f t="shared" si="95"/>
        <v>0</v>
      </c>
      <c r="GM96">
        <f t="shared" si="96"/>
        <v>172079.27</v>
      </c>
      <c r="GN96">
        <f t="shared" si="97"/>
        <v>172079.27</v>
      </c>
      <c r="GO96">
        <f t="shared" si="98"/>
        <v>0</v>
      </c>
      <c r="GP96">
        <f t="shared" si="99"/>
        <v>0</v>
      </c>
      <c r="GR96">
        <v>0</v>
      </c>
      <c r="GS96">
        <v>3</v>
      </c>
      <c r="GT96">
        <v>0</v>
      </c>
      <c r="GU96" t="s">
        <v>3</v>
      </c>
      <c r="GV96">
        <f t="shared" si="100"/>
        <v>0</v>
      </c>
      <c r="GW96">
        <v>1</v>
      </c>
      <c r="GX96">
        <f t="shared" si="101"/>
        <v>0</v>
      </c>
      <c r="HA96">
        <v>0</v>
      </c>
      <c r="HB96">
        <v>0</v>
      </c>
      <c r="HC96">
        <f t="shared" si="102"/>
        <v>0</v>
      </c>
      <c r="HE96" t="s">
        <v>3</v>
      </c>
      <c r="HF96" t="s">
        <v>3</v>
      </c>
      <c r="HM96" t="s">
        <v>3</v>
      </c>
      <c r="HN96" t="s">
        <v>3</v>
      </c>
      <c r="HO96" t="s">
        <v>3</v>
      </c>
      <c r="HP96" t="s">
        <v>3</v>
      </c>
      <c r="HQ96" t="s">
        <v>3</v>
      </c>
      <c r="IK96">
        <v>0</v>
      </c>
    </row>
    <row r="98" spans="1:245" x14ac:dyDescent="0.2">
      <c r="A98" s="1">
        <v>5</v>
      </c>
      <c r="B98" s="1">
        <v>1</v>
      </c>
      <c r="C98" s="1"/>
      <c r="D98" s="1">
        <f>ROW(A117)</f>
        <v>117</v>
      </c>
      <c r="E98" s="1"/>
      <c r="F98" s="1" t="s">
        <v>203</v>
      </c>
      <c r="G98" s="1" t="s">
        <v>204</v>
      </c>
      <c r="H98" s="1" t="s">
        <v>3</v>
      </c>
      <c r="I98" s="1">
        <v>0</v>
      </c>
      <c r="J98" s="1"/>
      <c r="K98" s="1">
        <v>0</v>
      </c>
      <c r="L98" s="1"/>
      <c r="M98" s="1" t="s">
        <v>3</v>
      </c>
      <c r="N98" s="1"/>
      <c r="O98" s="1"/>
      <c r="P98" s="1"/>
      <c r="Q98" s="1"/>
      <c r="R98" s="1"/>
      <c r="S98" s="1">
        <v>0</v>
      </c>
      <c r="T98" s="1"/>
      <c r="U98" s="1" t="s">
        <v>3</v>
      </c>
      <c r="V98" s="1">
        <v>0</v>
      </c>
      <c r="W98" s="1"/>
      <c r="X98" s="1"/>
      <c r="Y98" s="1"/>
      <c r="Z98" s="1"/>
      <c r="AA98" s="1"/>
      <c r="AB98" s="1" t="s">
        <v>3</v>
      </c>
      <c r="AC98" s="1" t="s">
        <v>3</v>
      </c>
      <c r="AD98" s="1" t="s">
        <v>3</v>
      </c>
      <c r="AE98" s="1" t="s">
        <v>3</v>
      </c>
      <c r="AF98" s="1" t="s">
        <v>3</v>
      </c>
      <c r="AG98" s="1" t="s">
        <v>3</v>
      </c>
      <c r="AH98" s="1"/>
      <c r="AI98" s="1"/>
      <c r="AJ98" s="1"/>
      <c r="AK98" s="1"/>
      <c r="AL98" s="1"/>
      <c r="AM98" s="1"/>
      <c r="AN98" s="1"/>
      <c r="AO98" s="1"/>
      <c r="AP98" s="1" t="s">
        <v>3</v>
      </c>
      <c r="AQ98" s="1" t="s">
        <v>3</v>
      </c>
      <c r="AR98" s="1" t="s">
        <v>3</v>
      </c>
      <c r="AS98" s="1"/>
      <c r="AT98" s="1"/>
      <c r="AU98" s="1"/>
      <c r="AV98" s="1"/>
      <c r="AW98" s="1"/>
      <c r="AX98" s="1"/>
      <c r="AY98" s="1"/>
      <c r="AZ98" s="1" t="s">
        <v>3</v>
      </c>
      <c r="BA98" s="1"/>
      <c r="BB98" s="1" t="s">
        <v>3</v>
      </c>
      <c r="BC98" s="1" t="s">
        <v>3</v>
      </c>
      <c r="BD98" s="1" t="s">
        <v>3</v>
      </c>
      <c r="BE98" s="1" t="s">
        <v>3</v>
      </c>
      <c r="BF98" s="1" t="s">
        <v>3</v>
      </c>
      <c r="BG98" s="1" t="s">
        <v>3</v>
      </c>
      <c r="BH98" s="1" t="s">
        <v>3</v>
      </c>
      <c r="BI98" s="1" t="s">
        <v>3</v>
      </c>
      <c r="BJ98" s="1" t="s">
        <v>3</v>
      </c>
      <c r="BK98" s="1" t="s">
        <v>3</v>
      </c>
      <c r="BL98" s="1" t="s">
        <v>3</v>
      </c>
      <c r="BM98" s="1" t="s">
        <v>3</v>
      </c>
      <c r="BN98" s="1" t="s">
        <v>3</v>
      </c>
      <c r="BO98" s="1" t="s">
        <v>3</v>
      </c>
      <c r="BP98" s="1" t="s">
        <v>3</v>
      </c>
      <c r="BQ98" s="1"/>
      <c r="BR98" s="1"/>
      <c r="BS98" s="1"/>
      <c r="BT98" s="1"/>
      <c r="BU98" s="1"/>
      <c r="BV98" s="1"/>
      <c r="BW98" s="1"/>
      <c r="BX98" s="1">
        <v>0</v>
      </c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>
        <v>0</v>
      </c>
    </row>
    <row r="100" spans="1:245" x14ac:dyDescent="0.2">
      <c r="A100" s="2">
        <v>52</v>
      </c>
      <c r="B100" s="2">
        <f t="shared" ref="B100:G100" si="105">B117</f>
        <v>1</v>
      </c>
      <c r="C100" s="2">
        <f t="shared" si="105"/>
        <v>5</v>
      </c>
      <c r="D100" s="2">
        <f t="shared" si="105"/>
        <v>98</v>
      </c>
      <c r="E100" s="2">
        <f t="shared" si="105"/>
        <v>0</v>
      </c>
      <c r="F100" s="2" t="str">
        <f t="shared" si="105"/>
        <v>Новый подраздел</v>
      </c>
      <c r="G100" s="2" t="str">
        <f t="shared" si="105"/>
        <v>Ворота</v>
      </c>
      <c r="H100" s="2"/>
      <c r="I100" s="2"/>
      <c r="J100" s="2"/>
      <c r="K100" s="2"/>
      <c r="L100" s="2"/>
      <c r="M100" s="2"/>
      <c r="N100" s="2"/>
      <c r="O100" s="2">
        <f t="shared" ref="O100:AT100" si="106">O117</f>
        <v>48534.400000000001</v>
      </c>
      <c r="P100" s="2">
        <f t="shared" si="106"/>
        <v>28292.73</v>
      </c>
      <c r="Q100" s="2">
        <f t="shared" si="106"/>
        <v>7593.8</v>
      </c>
      <c r="R100" s="2">
        <f t="shared" si="106"/>
        <v>1179.28</v>
      </c>
      <c r="S100" s="2">
        <f t="shared" si="106"/>
        <v>12647.87</v>
      </c>
      <c r="T100" s="2">
        <f t="shared" si="106"/>
        <v>0</v>
      </c>
      <c r="U100" s="2">
        <f t="shared" si="106"/>
        <v>39.47701</v>
      </c>
      <c r="V100" s="2">
        <f t="shared" si="106"/>
        <v>2.7680600000000002</v>
      </c>
      <c r="W100" s="2">
        <f t="shared" si="106"/>
        <v>0</v>
      </c>
      <c r="X100" s="2">
        <f t="shared" si="106"/>
        <v>12589.93</v>
      </c>
      <c r="Y100" s="2">
        <f t="shared" si="106"/>
        <v>7046.69</v>
      </c>
      <c r="Z100" s="2">
        <f t="shared" si="106"/>
        <v>0</v>
      </c>
      <c r="AA100" s="2">
        <f t="shared" si="106"/>
        <v>0</v>
      </c>
      <c r="AB100" s="2">
        <f t="shared" si="106"/>
        <v>48534.400000000001</v>
      </c>
      <c r="AC100" s="2">
        <f t="shared" si="106"/>
        <v>28292.73</v>
      </c>
      <c r="AD100" s="2">
        <f t="shared" si="106"/>
        <v>7593.8</v>
      </c>
      <c r="AE100" s="2">
        <f t="shared" si="106"/>
        <v>1179.28</v>
      </c>
      <c r="AF100" s="2">
        <f t="shared" si="106"/>
        <v>12647.87</v>
      </c>
      <c r="AG100" s="2">
        <f t="shared" si="106"/>
        <v>0</v>
      </c>
      <c r="AH100" s="2">
        <f t="shared" si="106"/>
        <v>39.47701</v>
      </c>
      <c r="AI100" s="2">
        <f t="shared" si="106"/>
        <v>2.7680600000000002</v>
      </c>
      <c r="AJ100" s="2">
        <f t="shared" si="106"/>
        <v>0</v>
      </c>
      <c r="AK100" s="2">
        <f t="shared" si="106"/>
        <v>12589.93</v>
      </c>
      <c r="AL100" s="2">
        <f t="shared" si="106"/>
        <v>7046.69</v>
      </c>
      <c r="AM100" s="2">
        <f t="shared" si="106"/>
        <v>0</v>
      </c>
      <c r="AN100" s="2">
        <f t="shared" si="106"/>
        <v>0</v>
      </c>
      <c r="AO100" s="2">
        <f t="shared" si="106"/>
        <v>0</v>
      </c>
      <c r="AP100" s="2">
        <f t="shared" si="106"/>
        <v>0</v>
      </c>
      <c r="AQ100" s="2">
        <f t="shared" si="106"/>
        <v>0</v>
      </c>
      <c r="AR100" s="2">
        <f t="shared" si="106"/>
        <v>68171.02</v>
      </c>
      <c r="AS100" s="2">
        <f t="shared" si="106"/>
        <v>45584</v>
      </c>
      <c r="AT100" s="2">
        <f t="shared" si="106"/>
        <v>22587.02</v>
      </c>
      <c r="AU100" s="2">
        <f t="shared" ref="AU100:BZ100" si="107">AU117</f>
        <v>0</v>
      </c>
      <c r="AV100" s="2">
        <f t="shared" si="107"/>
        <v>28292.73</v>
      </c>
      <c r="AW100" s="2">
        <f t="shared" si="107"/>
        <v>28292.73</v>
      </c>
      <c r="AX100" s="2">
        <f t="shared" si="107"/>
        <v>0</v>
      </c>
      <c r="AY100" s="2">
        <f t="shared" si="107"/>
        <v>28292.73</v>
      </c>
      <c r="AZ100" s="2">
        <f t="shared" si="107"/>
        <v>0</v>
      </c>
      <c r="BA100" s="2">
        <f t="shared" si="107"/>
        <v>0</v>
      </c>
      <c r="BB100" s="2">
        <f t="shared" si="107"/>
        <v>0</v>
      </c>
      <c r="BC100" s="2">
        <f t="shared" si="107"/>
        <v>0</v>
      </c>
      <c r="BD100" s="2">
        <f t="shared" si="107"/>
        <v>0</v>
      </c>
      <c r="BE100" s="2">
        <f t="shared" si="107"/>
        <v>0</v>
      </c>
      <c r="BF100" s="2">
        <f t="shared" si="107"/>
        <v>0</v>
      </c>
      <c r="BG100" s="2">
        <f t="shared" si="107"/>
        <v>0</v>
      </c>
      <c r="BH100" s="2">
        <f t="shared" si="107"/>
        <v>0</v>
      </c>
      <c r="BI100" s="2">
        <f t="shared" si="107"/>
        <v>0</v>
      </c>
      <c r="BJ100" s="2">
        <f t="shared" si="107"/>
        <v>0</v>
      </c>
      <c r="BK100" s="2">
        <f t="shared" si="107"/>
        <v>0</v>
      </c>
      <c r="BL100" s="2">
        <f t="shared" si="107"/>
        <v>0</v>
      </c>
      <c r="BM100" s="2">
        <f t="shared" si="107"/>
        <v>0</v>
      </c>
      <c r="BN100" s="2">
        <f t="shared" si="107"/>
        <v>0</v>
      </c>
      <c r="BO100" s="2">
        <f t="shared" si="107"/>
        <v>0</v>
      </c>
      <c r="BP100" s="2">
        <f t="shared" si="107"/>
        <v>0</v>
      </c>
      <c r="BQ100" s="2">
        <f t="shared" si="107"/>
        <v>0</v>
      </c>
      <c r="BR100" s="2">
        <f t="shared" si="107"/>
        <v>0</v>
      </c>
      <c r="BS100" s="2">
        <f t="shared" si="107"/>
        <v>0</v>
      </c>
      <c r="BT100" s="2">
        <f t="shared" si="107"/>
        <v>0</v>
      </c>
      <c r="BU100" s="2">
        <f t="shared" si="107"/>
        <v>0</v>
      </c>
      <c r="BV100" s="2">
        <f t="shared" si="107"/>
        <v>0</v>
      </c>
      <c r="BW100" s="2">
        <f t="shared" si="107"/>
        <v>0</v>
      </c>
      <c r="BX100" s="2">
        <f t="shared" si="107"/>
        <v>0</v>
      </c>
      <c r="BY100" s="2">
        <f t="shared" si="107"/>
        <v>0</v>
      </c>
      <c r="BZ100" s="2">
        <f t="shared" si="107"/>
        <v>0</v>
      </c>
      <c r="CA100" s="2">
        <f t="shared" ref="CA100:DF100" si="108">CA117</f>
        <v>68171.02</v>
      </c>
      <c r="CB100" s="2">
        <f t="shared" si="108"/>
        <v>45584</v>
      </c>
      <c r="CC100" s="2">
        <f t="shared" si="108"/>
        <v>22587.02</v>
      </c>
      <c r="CD100" s="2">
        <f t="shared" si="108"/>
        <v>0</v>
      </c>
      <c r="CE100" s="2">
        <f t="shared" si="108"/>
        <v>28292.73</v>
      </c>
      <c r="CF100" s="2">
        <f t="shared" si="108"/>
        <v>28292.73</v>
      </c>
      <c r="CG100" s="2">
        <f t="shared" si="108"/>
        <v>0</v>
      </c>
      <c r="CH100" s="2">
        <f t="shared" si="108"/>
        <v>28292.73</v>
      </c>
      <c r="CI100" s="2">
        <f t="shared" si="108"/>
        <v>0</v>
      </c>
      <c r="CJ100" s="2">
        <f t="shared" si="108"/>
        <v>0</v>
      </c>
      <c r="CK100" s="2">
        <f t="shared" si="108"/>
        <v>0</v>
      </c>
      <c r="CL100" s="2">
        <f t="shared" si="108"/>
        <v>0</v>
      </c>
      <c r="CM100" s="2">
        <f t="shared" si="108"/>
        <v>0</v>
      </c>
      <c r="CN100" s="2">
        <f t="shared" si="108"/>
        <v>0</v>
      </c>
      <c r="CO100" s="2">
        <f t="shared" si="108"/>
        <v>0</v>
      </c>
      <c r="CP100" s="2">
        <f t="shared" si="108"/>
        <v>0</v>
      </c>
      <c r="CQ100" s="2">
        <f t="shared" si="108"/>
        <v>0</v>
      </c>
      <c r="CR100" s="2">
        <f t="shared" si="108"/>
        <v>0</v>
      </c>
      <c r="CS100" s="2">
        <f t="shared" si="108"/>
        <v>0</v>
      </c>
      <c r="CT100" s="2">
        <f t="shared" si="108"/>
        <v>0</v>
      </c>
      <c r="CU100" s="2">
        <f t="shared" si="108"/>
        <v>0</v>
      </c>
      <c r="CV100" s="2">
        <f t="shared" si="108"/>
        <v>0</v>
      </c>
      <c r="CW100" s="2">
        <f t="shared" si="108"/>
        <v>0</v>
      </c>
      <c r="CX100" s="2">
        <f t="shared" si="108"/>
        <v>0</v>
      </c>
      <c r="CY100" s="2">
        <f t="shared" si="108"/>
        <v>0</v>
      </c>
      <c r="CZ100" s="2">
        <f t="shared" si="108"/>
        <v>0</v>
      </c>
      <c r="DA100" s="2">
        <f t="shared" si="108"/>
        <v>0</v>
      </c>
      <c r="DB100" s="2">
        <f t="shared" si="108"/>
        <v>0</v>
      </c>
      <c r="DC100" s="2">
        <f t="shared" si="108"/>
        <v>0</v>
      </c>
      <c r="DD100" s="2">
        <f t="shared" si="108"/>
        <v>0</v>
      </c>
      <c r="DE100" s="2">
        <f t="shared" si="108"/>
        <v>0</v>
      </c>
      <c r="DF100" s="2">
        <f t="shared" si="108"/>
        <v>0</v>
      </c>
      <c r="DG100" s="3">
        <f t="shared" ref="DG100:EL100" si="109">DG117</f>
        <v>0</v>
      </c>
      <c r="DH100" s="3">
        <f t="shared" si="109"/>
        <v>0</v>
      </c>
      <c r="DI100" s="3">
        <f t="shared" si="109"/>
        <v>0</v>
      </c>
      <c r="DJ100" s="3">
        <f t="shared" si="109"/>
        <v>0</v>
      </c>
      <c r="DK100" s="3">
        <f t="shared" si="109"/>
        <v>0</v>
      </c>
      <c r="DL100" s="3">
        <f t="shared" si="109"/>
        <v>0</v>
      </c>
      <c r="DM100" s="3">
        <f t="shared" si="109"/>
        <v>0</v>
      </c>
      <c r="DN100" s="3">
        <f t="shared" si="109"/>
        <v>0</v>
      </c>
      <c r="DO100" s="3">
        <f t="shared" si="109"/>
        <v>0</v>
      </c>
      <c r="DP100" s="3">
        <f t="shared" si="109"/>
        <v>0</v>
      </c>
      <c r="DQ100" s="3">
        <f t="shared" si="109"/>
        <v>0</v>
      </c>
      <c r="DR100" s="3">
        <f t="shared" si="109"/>
        <v>0</v>
      </c>
      <c r="DS100" s="3">
        <f t="shared" si="109"/>
        <v>0</v>
      </c>
      <c r="DT100" s="3">
        <f t="shared" si="109"/>
        <v>0</v>
      </c>
      <c r="DU100" s="3">
        <f t="shared" si="109"/>
        <v>0</v>
      </c>
      <c r="DV100" s="3">
        <f t="shared" si="109"/>
        <v>0</v>
      </c>
      <c r="DW100" s="3">
        <f t="shared" si="109"/>
        <v>0</v>
      </c>
      <c r="DX100" s="3">
        <f t="shared" si="109"/>
        <v>0</v>
      </c>
      <c r="DY100" s="3">
        <f t="shared" si="109"/>
        <v>0</v>
      </c>
      <c r="DZ100" s="3">
        <f t="shared" si="109"/>
        <v>0</v>
      </c>
      <c r="EA100" s="3">
        <f t="shared" si="109"/>
        <v>0</v>
      </c>
      <c r="EB100" s="3">
        <f t="shared" si="109"/>
        <v>0</v>
      </c>
      <c r="EC100" s="3">
        <f t="shared" si="109"/>
        <v>0</v>
      </c>
      <c r="ED100" s="3">
        <f t="shared" si="109"/>
        <v>0</v>
      </c>
      <c r="EE100" s="3">
        <f t="shared" si="109"/>
        <v>0</v>
      </c>
      <c r="EF100" s="3">
        <f t="shared" si="109"/>
        <v>0</v>
      </c>
      <c r="EG100" s="3">
        <f t="shared" si="109"/>
        <v>0</v>
      </c>
      <c r="EH100" s="3">
        <f t="shared" si="109"/>
        <v>0</v>
      </c>
      <c r="EI100" s="3">
        <f t="shared" si="109"/>
        <v>0</v>
      </c>
      <c r="EJ100" s="3">
        <f t="shared" si="109"/>
        <v>0</v>
      </c>
      <c r="EK100" s="3">
        <f t="shared" si="109"/>
        <v>0</v>
      </c>
      <c r="EL100" s="3">
        <f t="shared" si="109"/>
        <v>0</v>
      </c>
      <c r="EM100" s="3">
        <f t="shared" ref="EM100:FR100" si="110">EM117</f>
        <v>0</v>
      </c>
      <c r="EN100" s="3">
        <f t="shared" si="110"/>
        <v>0</v>
      </c>
      <c r="EO100" s="3">
        <f t="shared" si="110"/>
        <v>0</v>
      </c>
      <c r="EP100" s="3">
        <f t="shared" si="110"/>
        <v>0</v>
      </c>
      <c r="EQ100" s="3">
        <f t="shared" si="110"/>
        <v>0</v>
      </c>
      <c r="ER100" s="3">
        <f t="shared" si="110"/>
        <v>0</v>
      </c>
      <c r="ES100" s="3">
        <f t="shared" si="110"/>
        <v>0</v>
      </c>
      <c r="ET100" s="3">
        <f t="shared" si="110"/>
        <v>0</v>
      </c>
      <c r="EU100" s="3">
        <f t="shared" si="110"/>
        <v>0</v>
      </c>
      <c r="EV100" s="3">
        <f t="shared" si="110"/>
        <v>0</v>
      </c>
      <c r="EW100" s="3">
        <f t="shared" si="110"/>
        <v>0</v>
      </c>
      <c r="EX100" s="3">
        <f t="shared" si="110"/>
        <v>0</v>
      </c>
      <c r="EY100" s="3">
        <f t="shared" si="110"/>
        <v>0</v>
      </c>
      <c r="EZ100" s="3">
        <f t="shared" si="110"/>
        <v>0</v>
      </c>
      <c r="FA100" s="3">
        <f t="shared" si="110"/>
        <v>0</v>
      </c>
      <c r="FB100" s="3">
        <f t="shared" si="110"/>
        <v>0</v>
      </c>
      <c r="FC100" s="3">
        <f t="shared" si="110"/>
        <v>0</v>
      </c>
      <c r="FD100" s="3">
        <f t="shared" si="110"/>
        <v>0</v>
      </c>
      <c r="FE100" s="3">
        <f t="shared" si="110"/>
        <v>0</v>
      </c>
      <c r="FF100" s="3">
        <f t="shared" si="110"/>
        <v>0</v>
      </c>
      <c r="FG100" s="3">
        <f t="shared" si="110"/>
        <v>0</v>
      </c>
      <c r="FH100" s="3">
        <f t="shared" si="110"/>
        <v>0</v>
      </c>
      <c r="FI100" s="3">
        <f t="shared" si="110"/>
        <v>0</v>
      </c>
      <c r="FJ100" s="3">
        <f t="shared" si="110"/>
        <v>0</v>
      </c>
      <c r="FK100" s="3">
        <f t="shared" si="110"/>
        <v>0</v>
      </c>
      <c r="FL100" s="3">
        <f t="shared" si="110"/>
        <v>0</v>
      </c>
      <c r="FM100" s="3">
        <f t="shared" si="110"/>
        <v>0</v>
      </c>
      <c r="FN100" s="3">
        <f t="shared" si="110"/>
        <v>0</v>
      </c>
      <c r="FO100" s="3">
        <f t="shared" si="110"/>
        <v>0</v>
      </c>
      <c r="FP100" s="3">
        <f t="shared" si="110"/>
        <v>0</v>
      </c>
      <c r="FQ100" s="3">
        <f t="shared" si="110"/>
        <v>0</v>
      </c>
      <c r="FR100" s="3">
        <f t="shared" si="110"/>
        <v>0</v>
      </c>
      <c r="FS100" s="3">
        <f t="shared" ref="FS100:GX100" si="111">FS117</f>
        <v>0</v>
      </c>
      <c r="FT100" s="3">
        <f t="shared" si="111"/>
        <v>0</v>
      </c>
      <c r="FU100" s="3">
        <f t="shared" si="111"/>
        <v>0</v>
      </c>
      <c r="FV100" s="3">
        <f t="shared" si="111"/>
        <v>0</v>
      </c>
      <c r="FW100" s="3">
        <f t="shared" si="111"/>
        <v>0</v>
      </c>
      <c r="FX100" s="3">
        <f t="shared" si="111"/>
        <v>0</v>
      </c>
      <c r="FY100" s="3">
        <f t="shared" si="111"/>
        <v>0</v>
      </c>
      <c r="FZ100" s="3">
        <f t="shared" si="111"/>
        <v>0</v>
      </c>
      <c r="GA100" s="3">
        <f t="shared" si="111"/>
        <v>0</v>
      </c>
      <c r="GB100" s="3">
        <f t="shared" si="111"/>
        <v>0</v>
      </c>
      <c r="GC100" s="3">
        <f t="shared" si="111"/>
        <v>0</v>
      </c>
      <c r="GD100" s="3">
        <f t="shared" si="111"/>
        <v>0</v>
      </c>
      <c r="GE100" s="3">
        <f t="shared" si="111"/>
        <v>0</v>
      </c>
      <c r="GF100" s="3">
        <f t="shared" si="111"/>
        <v>0</v>
      </c>
      <c r="GG100" s="3">
        <f t="shared" si="111"/>
        <v>0</v>
      </c>
      <c r="GH100" s="3">
        <f t="shared" si="111"/>
        <v>0</v>
      </c>
      <c r="GI100" s="3">
        <f t="shared" si="111"/>
        <v>0</v>
      </c>
      <c r="GJ100" s="3">
        <f t="shared" si="111"/>
        <v>0</v>
      </c>
      <c r="GK100" s="3">
        <f t="shared" si="111"/>
        <v>0</v>
      </c>
      <c r="GL100" s="3">
        <f t="shared" si="111"/>
        <v>0</v>
      </c>
      <c r="GM100" s="3">
        <f t="shared" si="111"/>
        <v>0</v>
      </c>
      <c r="GN100" s="3">
        <f t="shared" si="111"/>
        <v>0</v>
      </c>
      <c r="GO100" s="3">
        <f t="shared" si="111"/>
        <v>0</v>
      </c>
      <c r="GP100" s="3">
        <f t="shared" si="111"/>
        <v>0</v>
      </c>
      <c r="GQ100" s="3">
        <f t="shared" si="111"/>
        <v>0</v>
      </c>
      <c r="GR100" s="3">
        <f t="shared" si="111"/>
        <v>0</v>
      </c>
      <c r="GS100" s="3">
        <f t="shared" si="111"/>
        <v>0</v>
      </c>
      <c r="GT100" s="3">
        <f t="shared" si="111"/>
        <v>0</v>
      </c>
      <c r="GU100" s="3">
        <f t="shared" si="111"/>
        <v>0</v>
      </c>
      <c r="GV100" s="3">
        <f t="shared" si="111"/>
        <v>0</v>
      </c>
      <c r="GW100" s="3">
        <f t="shared" si="111"/>
        <v>0</v>
      </c>
      <c r="GX100" s="3">
        <f t="shared" si="111"/>
        <v>0</v>
      </c>
    </row>
    <row r="102" spans="1:245" x14ac:dyDescent="0.2">
      <c r="A102">
        <v>17</v>
      </c>
      <c r="B102">
        <v>1</v>
      </c>
      <c r="C102">
        <f>ROW(SmtRes!A88)</f>
        <v>88</v>
      </c>
      <c r="D102">
        <f>ROW(EtalonRes!A88)</f>
        <v>88</v>
      </c>
      <c r="E102" t="s">
        <v>205</v>
      </c>
      <c r="F102" t="s">
        <v>34</v>
      </c>
      <c r="G102" t="s">
        <v>206</v>
      </c>
      <c r="H102" t="s">
        <v>36</v>
      </c>
      <c r="I102">
        <f>ROUND(2/100,9)</f>
        <v>0.02</v>
      </c>
      <c r="J102">
        <v>0</v>
      </c>
      <c r="K102">
        <f>ROUND(2/100,9)</f>
        <v>0.02</v>
      </c>
      <c r="O102">
        <f t="shared" ref="O102:O115" si="112">ROUND(CP102,2)</f>
        <v>1069.5</v>
      </c>
      <c r="P102">
        <f t="shared" ref="P102:P115" si="113">ROUND(CQ102*I102,2)</f>
        <v>48.9</v>
      </c>
      <c r="Q102">
        <f t="shared" ref="Q102:Q115" si="114">ROUND(CR102*I102,2)</f>
        <v>820.23</v>
      </c>
      <c r="R102">
        <f t="shared" ref="R102:R115" si="115">ROUND(CS102*I102,2)</f>
        <v>171.51</v>
      </c>
      <c r="S102">
        <f t="shared" ref="S102:S115" si="116">ROUND(CT102*I102,2)</f>
        <v>200.37</v>
      </c>
      <c r="T102">
        <f t="shared" ref="T102:T115" si="117">ROUND(CU102*I102,2)</f>
        <v>0</v>
      </c>
      <c r="U102">
        <f t="shared" ref="U102:U115" si="118">CV102*I102</f>
        <v>0.71279999999999999</v>
      </c>
      <c r="V102">
        <f t="shared" ref="V102:V115" si="119">CW102*I102</f>
        <v>0.43340000000000006</v>
      </c>
      <c r="W102">
        <f t="shared" ref="W102:W115" si="120">ROUND(CX102*I102,2)</f>
        <v>0</v>
      </c>
      <c r="X102">
        <f t="shared" ref="X102:X115" si="121">ROUND(CY102,2)</f>
        <v>345.85</v>
      </c>
      <c r="Y102">
        <f t="shared" ref="Y102:Y115" si="122">ROUND(CZ102,2)</f>
        <v>230.57</v>
      </c>
      <c r="AA102">
        <v>94798619</v>
      </c>
      <c r="AB102">
        <f t="shared" ref="AB102:AB115" si="123">ROUND((AC102+AD102+AF102),2)</f>
        <v>3978.49</v>
      </c>
      <c r="AC102">
        <f t="shared" ref="AC102:AC115" si="124">ROUND((ES102),2)</f>
        <v>236.46</v>
      </c>
      <c r="AD102">
        <f t="shared" ref="AD102:AD115" si="125">ROUND((((ET102)-(EU102))+AE102),2)</f>
        <v>3457.98</v>
      </c>
      <c r="AE102">
        <f t="shared" ref="AE102:AE115" si="126">ROUND((EU102),2)</f>
        <v>243.14</v>
      </c>
      <c r="AF102">
        <f t="shared" ref="AF102:AF115" si="127">ROUND((EV102),2)</f>
        <v>284.05</v>
      </c>
      <c r="AG102">
        <f t="shared" ref="AG102:AG115" si="128">ROUND((AP102),2)</f>
        <v>0</v>
      </c>
      <c r="AH102">
        <f t="shared" ref="AH102:AH115" si="129">(EW102)</f>
        <v>35.64</v>
      </c>
      <c r="AI102">
        <f t="shared" ref="AI102:AI115" si="130">(EX102)</f>
        <v>21.67</v>
      </c>
      <c r="AJ102">
        <f t="shared" ref="AJ102:AJ115" si="131">(AS102)</f>
        <v>0</v>
      </c>
      <c r="AK102">
        <v>3978.49</v>
      </c>
      <c r="AL102">
        <v>236.46</v>
      </c>
      <c r="AM102">
        <v>3457.98</v>
      </c>
      <c r="AN102">
        <v>243.14</v>
      </c>
      <c r="AO102">
        <v>284.05</v>
      </c>
      <c r="AP102">
        <v>0</v>
      </c>
      <c r="AQ102">
        <v>35.64</v>
      </c>
      <c r="AR102">
        <v>21.67</v>
      </c>
      <c r="AS102">
        <v>0</v>
      </c>
      <c r="AT102">
        <v>93</v>
      </c>
      <c r="AU102">
        <v>62</v>
      </c>
      <c r="AV102">
        <v>1</v>
      </c>
      <c r="AW102">
        <v>1</v>
      </c>
      <c r="AZ102">
        <v>1</v>
      </c>
      <c r="BA102">
        <v>35.270000000000003</v>
      </c>
      <c r="BB102">
        <v>11.86</v>
      </c>
      <c r="BC102">
        <v>10.34</v>
      </c>
      <c r="BD102" t="s">
        <v>3</v>
      </c>
      <c r="BE102" t="s">
        <v>3</v>
      </c>
      <c r="BF102" t="s">
        <v>3</v>
      </c>
      <c r="BG102" t="s">
        <v>3</v>
      </c>
      <c r="BH102">
        <v>0</v>
      </c>
      <c r="BI102">
        <v>1</v>
      </c>
      <c r="BJ102" t="s">
        <v>37</v>
      </c>
      <c r="BM102">
        <v>9001</v>
      </c>
      <c r="BN102">
        <v>0</v>
      </c>
      <c r="BO102" t="s">
        <v>34</v>
      </c>
      <c r="BP102">
        <v>1</v>
      </c>
      <c r="BQ102">
        <v>2</v>
      </c>
      <c r="BR102">
        <v>0</v>
      </c>
      <c r="BS102">
        <v>35.270000000000003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93</v>
      </c>
      <c r="CA102">
        <v>62</v>
      </c>
      <c r="CB102" t="s">
        <v>3</v>
      </c>
      <c r="CE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ref="CP102:CP115" si="132">(P102+Q102+S102)</f>
        <v>1069.5</v>
      </c>
      <c r="CQ102">
        <f t="shared" ref="CQ102:CQ115" si="133">AC102*BC102</f>
        <v>2444.9964</v>
      </c>
      <c r="CR102">
        <f t="shared" ref="CR102:CR115" si="134">(((ET102)*BB102-(EU102)*BS102)+AE102*BS102)</f>
        <v>41011.642800000001</v>
      </c>
      <c r="CS102">
        <f t="shared" ref="CS102:CS115" si="135">AE102*BS102</f>
        <v>8575.5478000000003</v>
      </c>
      <c r="CT102">
        <f t="shared" ref="CT102:CT115" si="136">AF102*BA102</f>
        <v>10018.443500000001</v>
      </c>
      <c r="CU102">
        <f t="shared" ref="CU102:CU115" si="137">AG102</f>
        <v>0</v>
      </c>
      <c r="CV102">
        <f t="shared" ref="CV102:CV115" si="138">AH102</f>
        <v>35.64</v>
      </c>
      <c r="CW102">
        <f t="shared" ref="CW102:CW115" si="139">AI102</f>
        <v>21.67</v>
      </c>
      <c r="CX102">
        <f t="shared" ref="CX102:CX115" si="140">AJ102</f>
        <v>0</v>
      </c>
      <c r="CY102">
        <f>(((S102+R102)*AT102)/100)</f>
        <v>345.84839999999997</v>
      </c>
      <c r="CZ102">
        <f>(((S102+R102)*AU102)/100)</f>
        <v>230.56560000000002</v>
      </c>
      <c r="DC102" t="s">
        <v>3</v>
      </c>
      <c r="DD102" t="s">
        <v>3</v>
      </c>
      <c r="DE102" t="s">
        <v>3</v>
      </c>
      <c r="DF102" t="s">
        <v>3</v>
      </c>
      <c r="DG102" t="s">
        <v>3</v>
      </c>
      <c r="DH102" t="s">
        <v>3</v>
      </c>
      <c r="DI102" t="s">
        <v>3</v>
      </c>
      <c r="DJ102" t="s">
        <v>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DU102">
        <v>1013</v>
      </c>
      <c r="DV102" t="s">
        <v>36</v>
      </c>
      <c r="DW102" t="s">
        <v>36</v>
      </c>
      <c r="DX102">
        <v>1</v>
      </c>
      <c r="DZ102" t="s">
        <v>3</v>
      </c>
      <c r="EA102" t="s">
        <v>3</v>
      </c>
      <c r="EB102" t="s">
        <v>3</v>
      </c>
      <c r="EC102" t="s">
        <v>3</v>
      </c>
      <c r="EE102">
        <v>92109398</v>
      </c>
      <c r="EF102">
        <v>2</v>
      </c>
      <c r="EG102" t="s">
        <v>21</v>
      </c>
      <c r="EH102">
        <v>9</v>
      </c>
      <c r="EI102" t="s">
        <v>40</v>
      </c>
      <c r="EJ102">
        <v>1</v>
      </c>
      <c r="EK102">
        <v>9001</v>
      </c>
      <c r="EL102" t="s">
        <v>40</v>
      </c>
      <c r="EM102" t="s">
        <v>41</v>
      </c>
      <c r="EO102" t="s">
        <v>3</v>
      </c>
      <c r="EQ102">
        <v>0</v>
      </c>
      <c r="ER102">
        <v>3978.49</v>
      </c>
      <c r="ES102">
        <v>236.46</v>
      </c>
      <c r="ET102">
        <v>3457.98</v>
      </c>
      <c r="EU102">
        <v>243.14</v>
      </c>
      <c r="EV102">
        <v>284.05</v>
      </c>
      <c r="EW102">
        <v>35.64</v>
      </c>
      <c r="EX102">
        <v>21.67</v>
      </c>
      <c r="EY102">
        <v>0</v>
      </c>
      <c r="FQ102">
        <v>0</v>
      </c>
      <c r="FR102">
        <f t="shared" ref="FR102:FR115" si="141">ROUND(IF(BI102=3,GM102,0),2)</f>
        <v>0</v>
      </c>
      <c r="FS102">
        <v>0</v>
      </c>
      <c r="FX102">
        <v>93</v>
      </c>
      <c r="FY102">
        <v>62</v>
      </c>
      <c r="GA102" t="s">
        <v>3</v>
      </c>
      <c r="GD102">
        <v>1</v>
      </c>
      <c r="GF102">
        <v>1125465084</v>
      </c>
      <c r="GG102">
        <v>2</v>
      </c>
      <c r="GH102">
        <v>1</v>
      </c>
      <c r="GI102">
        <v>2</v>
      </c>
      <c r="GJ102">
        <v>0</v>
      </c>
      <c r="GK102">
        <v>0</v>
      </c>
      <c r="GL102">
        <f t="shared" ref="GL102:GL115" si="142">ROUND(IF(AND(BH102=3,BI102=3,FS102&lt;&gt;0),P102,0),2)</f>
        <v>0</v>
      </c>
      <c r="GM102">
        <f t="shared" ref="GM102:GM115" si="143">ROUND(O102+X102+Y102,2)+GX102</f>
        <v>1645.92</v>
      </c>
      <c r="GN102">
        <f t="shared" ref="GN102:GN115" si="144">IF(OR(BI102=0,BI102=1),GM102-GX102,0)</f>
        <v>1645.92</v>
      </c>
      <c r="GO102">
        <f t="shared" ref="GO102:GO115" si="145">IF(BI102=2,GM102-GX102,0)</f>
        <v>0</v>
      </c>
      <c r="GP102">
        <f t="shared" ref="GP102:GP115" si="146">IF(BI102=4,GM102-GX102,0)</f>
        <v>0</v>
      </c>
      <c r="GR102">
        <v>0</v>
      </c>
      <c r="GS102">
        <v>3</v>
      </c>
      <c r="GT102">
        <v>0</v>
      </c>
      <c r="GU102" t="s">
        <v>3</v>
      </c>
      <c r="GV102">
        <f t="shared" ref="GV102:GV115" si="147">ROUND((GT102),2)</f>
        <v>0</v>
      </c>
      <c r="GW102">
        <v>1</v>
      </c>
      <c r="GX102">
        <f t="shared" ref="GX102:GX115" si="148">ROUND(HC102*I102,2)</f>
        <v>0</v>
      </c>
      <c r="HA102">
        <v>0</v>
      </c>
      <c r="HB102">
        <v>0</v>
      </c>
      <c r="HC102">
        <f t="shared" ref="HC102:HC115" si="149">GV102*GW102</f>
        <v>0</v>
      </c>
      <c r="HE102" t="s">
        <v>3</v>
      </c>
      <c r="HF102" t="s">
        <v>3</v>
      </c>
      <c r="HM102" t="s">
        <v>3</v>
      </c>
      <c r="HN102" t="s">
        <v>42</v>
      </c>
      <c r="HO102" t="s">
        <v>43</v>
      </c>
      <c r="HP102" t="s">
        <v>40</v>
      </c>
      <c r="HQ102" t="s">
        <v>40</v>
      </c>
      <c r="IK102">
        <v>0</v>
      </c>
    </row>
    <row r="103" spans="1:245" x14ac:dyDescent="0.2">
      <c r="A103">
        <v>18</v>
      </c>
      <c r="B103">
        <v>1</v>
      </c>
      <c r="C103">
        <v>87</v>
      </c>
      <c r="E103" t="s">
        <v>207</v>
      </c>
      <c r="F103" t="s">
        <v>45</v>
      </c>
      <c r="G103" t="s">
        <v>46</v>
      </c>
      <c r="H103" t="s">
        <v>47</v>
      </c>
      <c r="I103">
        <f>I102*J103</f>
        <v>2</v>
      </c>
      <c r="J103">
        <v>100</v>
      </c>
      <c r="K103">
        <v>100</v>
      </c>
      <c r="O103">
        <f t="shared" si="112"/>
        <v>0</v>
      </c>
      <c r="P103">
        <f t="shared" si="113"/>
        <v>0</v>
      </c>
      <c r="Q103">
        <f t="shared" si="114"/>
        <v>0</v>
      </c>
      <c r="R103">
        <f t="shared" si="115"/>
        <v>0</v>
      </c>
      <c r="S103">
        <f t="shared" si="116"/>
        <v>0</v>
      </c>
      <c r="T103">
        <f t="shared" si="117"/>
        <v>0</v>
      </c>
      <c r="U103">
        <f t="shared" si="118"/>
        <v>0</v>
      </c>
      <c r="V103">
        <f t="shared" si="119"/>
        <v>0</v>
      </c>
      <c r="W103">
        <f t="shared" si="120"/>
        <v>0</v>
      </c>
      <c r="X103">
        <f t="shared" si="121"/>
        <v>0</v>
      </c>
      <c r="Y103">
        <f t="shared" si="122"/>
        <v>0</v>
      </c>
      <c r="AA103">
        <v>94798619</v>
      </c>
      <c r="AB103">
        <f t="shared" si="123"/>
        <v>0</v>
      </c>
      <c r="AC103">
        <f t="shared" si="124"/>
        <v>0</v>
      </c>
      <c r="AD103">
        <f t="shared" si="125"/>
        <v>0</v>
      </c>
      <c r="AE103">
        <f t="shared" si="126"/>
        <v>0</v>
      </c>
      <c r="AF103">
        <f t="shared" si="127"/>
        <v>0</v>
      </c>
      <c r="AG103">
        <f t="shared" si="128"/>
        <v>0</v>
      </c>
      <c r="AH103">
        <f t="shared" si="129"/>
        <v>0</v>
      </c>
      <c r="AI103">
        <f t="shared" si="130"/>
        <v>0</v>
      </c>
      <c r="AJ103">
        <f t="shared" si="131"/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93</v>
      </c>
      <c r="AU103">
        <v>62</v>
      </c>
      <c r="AV103">
        <v>1</v>
      </c>
      <c r="AW103">
        <v>1</v>
      </c>
      <c r="AZ103">
        <v>1</v>
      </c>
      <c r="BA103">
        <v>1</v>
      </c>
      <c r="BB103">
        <v>1</v>
      </c>
      <c r="BC103">
        <v>1</v>
      </c>
      <c r="BD103" t="s">
        <v>3</v>
      </c>
      <c r="BE103" t="s">
        <v>3</v>
      </c>
      <c r="BF103" t="s">
        <v>3</v>
      </c>
      <c r="BG103" t="s">
        <v>3</v>
      </c>
      <c r="BH103">
        <v>3</v>
      </c>
      <c r="BI103">
        <v>1</v>
      </c>
      <c r="BJ103" t="s">
        <v>48</v>
      </c>
      <c r="BM103">
        <v>9001</v>
      </c>
      <c r="BN103">
        <v>0</v>
      </c>
      <c r="BO103" t="s">
        <v>3</v>
      </c>
      <c r="BP103">
        <v>0</v>
      </c>
      <c r="BQ103">
        <v>2</v>
      </c>
      <c r="BR103">
        <v>0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93</v>
      </c>
      <c r="CA103">
        <v>62</v>
      </c>
      <c r="CB103" t="s">
        <v>3</v>
      </c>
      <c r="CE103">
        <v>0</v>
      </c>
      <c r="CF103">
        <v>0</v>
      </c>
      <c r="CG103">
        <v>0</v>
      </c>
      <c r="CM103">
        <v>0</v>
      </c>
      <c r="CN103" t="s">
        <v>3</v>
      </c>
      <c r="CO103">
        <v>0</v>
      </c>
      <c r="CP103">
        <f t="shared" si="132"/>
        <v>0</v>
      </c>
      <c r="CQ103">
        <f t="shared" si="133"/>
        <v>0</v>
      </c>
      <c r="CR103">
        <f t="shared" si="134"/>
        <v>0</v>
      </c>
      <c r="CS103">
        <f t="shared" si="135"/>
        <v>0</v>
      </c>
      <c r="CT103">
        <f t="shared" si="136"/>
        <v>0</v>
      </c>
      <c r="CU103">
        <f t="shared" si="137"/>
        <v>0</v>
      </c>
      <c r="CV103">
        <f t="shared" si="138"/>
        <v>0</v>
      </c>
      <c r="CW103">
        <f t="shared" si="139"/>
        <v>0</v>
      </c>
      <c r="CX103">
        <f t="shared" si="140"/>
        <v>0</v>
      </c>
      <c r="CY103">
        <f>(((S103+R103)*AT103)/100)</f>
        <v>0</v>
      </c>
      <c r="CZ103">
        <f>(((S103+R103)*AU103)/100)</f>
        <v>0</v>
      </c>
      <c r="DC103" t="s">
        <v>3</v>
      </c>
      <c r="DD103" t="s">
        <v>3</v>
      </c>
      <c r="DE103" t="s">
        <v>3</v>
      </c>
      <c r="DF103" t="s">
        <v>3</v>
      </c>
      <c r="DG103" t="s">
        <v>3</v>
      </c>
      <c r="DH103" t="s">
        <v>3</v>
      </c>
      <c r="DI103" t="s">
        <v>3</v>
      </c>
      <c r="DJ103" t="s">
        <v>3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1010</v>
      </c>
      <c r="DV103" t="s">
        <v>47</v>
      </c>
      <c r="DW103" t="s">
        <v>47</v>
      </c>
      <c r="DX103">
        <v>1</v>
      </c>
      <c r="DZ103" t="s">
        <v>3</v>
      </c>
      <c r="EA103" t="s">
        <v>3</v>
      </c>
      <c r="EB103" t="s">
        <v>3</v>
      </c>
      <c r="EC103" t="s">
        <v>3</v>
      </c>
      <c r="EE103">
        <v>92109398</v>
      </c>
      <c r="EF103">
        <v>2</v>
      </c>
      <c r="EG103" t="s">
        <v>21</v>
      </c>
      <c r="EH103">
        <v>9</v>
      </c>
      <c r="EI103" t="s">
        <v>40</v>
      </c>
      <c r="EJ103">
        <v>1</v>
      </c>
      <c r="EK103">
        <v>9001</v>
      </c>
      <c r="EL103" t="s">
        <v>40</v>
      </c>
      <c r="EM103" t="s">
        <v>41</v>
      </c>
      <c r="EO103" t="s">
        <v>3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FQ103">
        <v>0</v>
      </c>
      <c r="FR103">
        <f t="shared" si="141"/>
        <v>0</v>
      </c>
      <c r="FS103">
        <v>0</v>
      </c>
      <c r="FX103">
        <v>93</v>
      </c>
      <c r="FY103">
        <v>62</v>
      </c>
      <c r="GA103" t="s">
        <v>3</v>
      </c>
      <c r="GD103">
        <v>1</v>
      </c>
      <c r="GF103">
        <v>-138700279</v>
      </c>
      <c r="GG103">
        <v>2</v>
      </c>
      <c r="GH103">
        <v>1</v>
      </c>
      <c r="GI103">
        <v>-2</v>
      </c>
      <c r="GJ103">
        <v>0</v>
      </c>
      <c r="GK103">
        <v>0</v>
      </c>
      <c r="GL103">
        <f t="shared" si="142"/>
        <v>0</v>
      </c>
      <c r="GM103">
        <f t="shared" si="143"/>
        <v>0</v>
      </c>
      <c r="GN103">
        <f t="shared" si="144"/>
        <v>0</v>
      </c>
      <c r="GO103">
        <f t="shared" si="145"/>
        <v>0</v>
      </c>
      <c r="GP103">
        <f t="shared" si="146"/>
        <v>0</v>
      </c>
      <c r="GR103">
        <v>0</v>
      </c>
      <c r="GS103">
        <v>3</v>
      </c>
      <c r="GT103">
        <v>0</v>
      </c>
      <c r="GU103" t="s">
        <v>3</v>
      </c>
      <c r="GV103">
        <f t="shared" si="147"/>
        <v>0</v>
      </c>
      <c r="GW103">
        <v>1</v>
      </c>
      <c r="GX103">
        <f t="shared" si="148"/>
        <v>0</v>
      </c>
      <c r="HA103">
        <v>0</v>
      </c>
      <c r="HB103">
        <v>0</v>
      </c>
      <c r="HC103">
        <f t="shared" si="149"/>
        <v>0</v>
      </c>
      <c r="HE103" t="s">
        <v>3</v>
      </c>
      <c r="HF103" t="s">
        <v>3</v>
      </c>
      <c r="HM103" t="s">
        <v>3</v>
      </c>
      <c r="HN103" t="s">
        <v>42</v>
      </c>
      <c r="HO103" t="s">
        <v>43</v>
      </c>
      <c r="HP103" t="s">
        <v>40</v>
      </c>
      <c r="HQ103" t="s">
        <v>40</v>
      </c>
      <c r="IK103">
        <v>0</v>
      </c>
    </row>
    <row r="104" spans="1:245" x14ac:dyDescent="0.2">
      <c r="A104">
        <v>18</v>
      </c>
      <c r="B104">
        <v>1</v>
      </c>
      <c r="C104">
        <v>88</v>
      </c>
      <c r="E104" t="s">
        <v>208</v>
      </c>
      <c r="F104" t="s">
        <v>50</v>
      </c>
      <c r="G104" t="s">
        <v>51</v>
      </c>
      <c r="H104" t="s">
        <v>52</v>
      </c>
      <c r="I104">
        <f>I102*J104</f>
        <v>0.1268</v>
      </c>
      <c r="J104">
        <v>6.34</v>
      </c>
      <c r="K104">
        <v>6.34</v>
      </c>
      <c r="O104">
        <f t="shared" si="112"/>
        <v>0</v>
      </c>
      <c r="P104">
        <f t="shared" si="113"/>
        <v>0</v>
      </c>
      <c r="Q104">
        <f t="shared" si="114"/>
        <v>0</v>
      </c>
      <c r="R104">
        <f t="shared" si="115"/>
        <v>0</v>
      </c>
      <c r="S104">
        <f t="shared" si="116"/>
        <v>0</v>
      </c>
      <c r="T104">
        <f t="shared" si="117"/>
        <v>0</v>
      </c>
      <c r="U104">
        <f t="shared" si="118"/>
        <v>0</v>
      </c>
      <c r="V104">
        <f t="shared" si="119"/>
        <v>0</v>
      </c>
      <c r="W104">
        <f t="shared" si="120"/>
        <v>0</v>
      </c>
      <c r="X104">
        <f t="shared" si="121"/>
        <v>0</v>
      </c>
      <c r="Y104">
        <f t="shared" si="122"/>
        <v>0</v>
      </c>
      <c r="AA104">
        <v>94798619</v>
      </c>
      <c r="AB104">
        <f t="shared" si="123"/>
        <v>0</v>
      </c>
      <c r="AC104">
        <f t="shared" si="124"/>
        <v>0</v>
      </c>
      <c r="AD104">
        <f t="shared" si="125"/>
        <v>0</v>
      </c>
      <c r="AE104">
        <f t="shared" si="126"/>
        <v>0</v>
      </c>
      <c r="AF104">
        <f t="shared" si="127"/>
        <v>0</v>
      </c>
      <c r="AG104">
        <f t="shared" si="128"/>
        <v>0</v>
      </c>
      <c r="AH104">
        <f t="shared" si="129"/>
        <v>0</v>
      </c>
      <c r="AI104">
        <f t="shared" si="130"/>
        <v>0</v>
      </c>
      <c r="AJ104">
        <f t="shared" si="131"/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93</v>
      </c>
      <c r="AU104">
        <v>62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3</v>
      </c>
      <c r="BE104" t="s">
        <v>3</v>
      </c>
      <c r="BF104" t="s">
        <v>3</v>
      </c>
      <c r="BG104" t="s">
        <v>3</v>
      </c>
      <c r="BH104">
        <v>3</v>
      </c>
      <c r="BI104">
        <v>1</v>
      </c>
      <c r="BJ104" t="s">
        <v>53</v>
      </c>
      <c r="BM104">
        <v>9001</v>
      </c>
      <c r="BN104">
        <v>0</v>
      </c>
      <c r="BO104" t="s">
        <v>3</v>
      </c>
      <c r="BP104">
        <v>0</v>
      </c>
      <c r="BQ104">
        <v>2</v>
      </c>
      <c r="BR104">
        <v>0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93</v>
      </c>
      <c r="CA104">
        <v>62</v>
      </c>
      <c r="CB104" t="s">
        <v>3</v>
      </c>
      <c r="CE104">
        <v>0</v>
      </c>
      <c r="CF104">
        <v>0</v>
      </c>
      <c r="CG104">
        <v>0</v>
      </c>
      <c r="CM104">
        <v>0</v>
      </c>
      <c r="CN104" t="s">
        <v>3</v>
      </c>
      <c r="CO104">
        <v>0</v>
      </c>
      <c r="CP104">
        <f t="shared" si="132"/>
        <v>0</v>
      </c>
      <c r="CQ104">
        <f t="shared" si="133"/>
        <v>0</v>
      </c>
      <c r="CR104">
        <f t="shared" si="134"/>
        <v>0</v>
      </c>
      <c r="CS104">
        <f t="shared" si="135"/>
        <v>0</v>
      </c>
      <c r="CT104">
        <f t="shared" si="136"/>
        <v>0</v>
      </c>
      <c r="CU104">
        <f t="shared" si="137"/>
        <v>0</v>
      </c>
      <c r="CV104">
        <f t="shared" si="138"/>
        <v>0</v>
      </c>
      <c r="CW104">
        <f t="shared" si="139"/>
        <v>0</v>
      </c>
      <c r="CX104">
        <f t="shared" si="140"/>
        <v>0</v>
      </c>
      <c r="CY104">
        <f>(((S104+R104)*AT104)/100)</f>
        <v>0</v>
      </c>
      <c r="CZ104">
        <f>(((S104+R104)*AU104)/100)</f>
        <v>0</v>
      </c>
      <c r="DC104" t="s">
        <v>3</v>
      </c>
      <c r="DD104" t="s">
        <v>3</v>
      </c>
      <c r="DE104" t="s">
        <v>3</v>
      </c>
      <c r="DF104" t="s">
        <v>3</v>
      </c>
      <c r="DG104" t="s">
        <v>3</v>
      </c>
      <c r="DH104" t="s">
        <v>3</v>
      </c>
      <c r="DI104" t="s">
        <v>3</v>
      </c>
      <c r="DJ104" t="s">
        <v>3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1007</v>
      </c>
      <c r="DV104" t="s">
        <v>52</v>
      </c>
      <c r="DW104" t="s">
        <v>52</v>
      </c>
      <c r="DX104">
        <v>1</v>
      </c>
      <c r="DZ104" t="s">
        <v>3</v>
      </c>
      <c r="EA104" t="s">
        <v>3</v>
      </c>
      <c r="EB104" t="s">
        <v>3</v>
      </c>
      <c r="EC104" t="s">
        <v>3</v>
      </c>
      <c r="EE104">
        <v>92109398</v>
      </c>
      <c r="EF104">
        <v>2</v>
      </c>
      <c r="EG104" t="s">
        <v>21</v>
      </c>
      <c r="EH104">
        <v>9</v>
      </c>
      <c r="EI104" t="s">
        <v>40</v>
      </c>
      <c r="EJ104">
        <v>1</v>
      </c>
      <c r="EK104">
        <v>9001</v>
      </c>
      <c r="EL104" t="s">
        <v>40</v>
      </c>
      <c r="EM104" t="s">
        <v>41</v>
      </c>
      <c r="EO104" t="s">
        <v>3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FQ104">
        <v>0</v>
      </c>
      <c r="FR104">
        <f t="shared" si="141"/>
        <v>0</v>
      </c>
      <c r="FS104">
        <v>0</v>
      </c>
      <c r="FX104">
        <v>93</v>
      </c>
      <c r="FY104">
        <v>62</v>
      </c>
      <c r="GA104" t="s">
        <v>3</v>
      </c>
      <c r="GD104">
        <v>1</v>
      </c>
      <c r="GF104">
        <v>-255290429</v>
      </c>
      <c r="GG104">
        <v>2</v>
      </c>
      <c r="GH104">
        <v>1</v>
      </c>
      <c r="GI104">
        <v>-2</v>
      </c>
      <c r="GJ104">
        <v>0</v>
      </c>
      <c r="GK104">
        <v>0</v>
      </c>
      <c r="GL104">
        <f t="shared" si="142"/>
        <v>0</v>
      </c>
      <c r="GM104">
        <f t="shared" si="143"/>
        <v>0</v>
      </c>
      <c r="GN104">
        <f t="shared" si="144"/>
        <v>0</v>
      </c>
      <c r="GO104">
        <f t="shared" si="145"/>
        <v>0</v>
      </c>
      <c r="GP104">
        <f t="shared" si="146"/>
        <v>0</v>
      </c>
      <c r="GR104">
        <v>0</v>
      </c>
      <c r="GS104">
        <v>3</v>
      </c>
      <c r="GT104">
        <v>0</v>
      </c>
      <c r="GU104" t="s">
        <v>3</v>
      </c>
      <c r="GV104">
        <f t="shared" si="147"/>
        <v>0</v>
      </c>
      <c r="GW104">
        <v>1</v>
      </c>
      <c r="GX104">
        <f t="shared" si="148"/>
        <v>0</v>
      </c>
      <c r="HA104">
        <v>0</v>
      </c>
      <c r="HB104">
        <v>0</v>
      </c>
      <c r="HC104">
        <f t="shared" si="149"/>
        <v>0</v>
      </c>
      <c r="HE104" t="s">
        <v>3</v>
      </c>
      <c r="HF104" t="s">
        <v>3</v>
      </c>
      <c r="HM104" t="s">
        <v>3</v>
      </c>
      <c r="HN104" t="s">
        <v>42</v>
      </c>
      <c r="HO104" t="s">
        <v>43</v>
      </c>
      <c r="HP104" t="s">
        <v>40</v>
      </c>
      <c r="HQ104" t="s">
        <v>40</v>
      </c>
      <c r="IK104">
        <v>0</v>
      </c>
    </row>
    <row r="105" spans="1:245" x14ac:dyDescent="0.2">
      <c r="A105">
        <v>17</v>
      </c>
      <c r="B105">
        <v>1</v>
      </c>
      <c r="E105" t="s">
        <v>209</v>
      </c>
      <c r="F105" t="s">
        <v>210</v>
      </c>
      <c r="G105" t="s">
        <v>211</v>
      </c>
      <c r="H105" t="s">
        <v>170</v>
      </c>
      <c r="I105">
        <v>5.0200000000000002E-2</v>
      </c>
      <c r="J105">
        <v>0</v>
      </c>
      <c r="K105">
        <v>5.0200000000000002E-2</v>
      </c>
      <c r="O105">
        <f t="shared" si="112"/>
        <v>5742.61</v>
      </c>
      <c r="P105">
        <f t="shared" si="113"/>
        <v>5742.61</v>
      </c>
      <c r="Q105">
        <f t="shared" si="114"/>
        <v>0</v>
      </c>
      <c r="R105">
        <f t="shared" si="115"/>
        <v>0</v>
      </c>
      <c r="S105">
        <f t="shared" si="116"/>
        <v>0</v>
      </c>
      <c r="T105">
        <f t="shared" si="117"/>
        <v>0</v>
      </c>
      <c r="U105">
        <f t="shared" si="118"/>
        <v>0</v>
      </c>
      <c r="V105">
        <f t="shared" si="119"/>
        <v>0</v>
      </c>
      <c r="W105">
        <f t="shared" si="120"/>
        <v>0</v>
      </c>
      <c r="X105">
        <f t="shared" si="121"/>
        <v>0</v>
      </c>
      <c r="Y105">
        <f t="shared" si="122"/>
        <v>0</v>
      </c>
      <c r="AA105">
        <v>94798619</v>
      </c>
      <c r="AB105">
        <f t="shared" si="123"/>
        <v>11315</v>
      </c>
      <c r="AC105">
        <f t="shared" si="124"/>
        <v>11315</v>
      </c>
      <c r="AD105">
        <f t="shared" si="125"/>
        <v>0</v>
      </c>
      <c r="AE105">
        <f t="shared" si="126"/>
        <v>0</v>
      </c>
      <c r="AF105">
        <f t="shared" si="127"/>
        <v>0</v>
      </c>
      <c r="AG105">
        <f t="shared" si="128"/>
        <v>0</v>
      </c>
      <c r="AH105">
        <f t="shared" si="129"/>
        <v>0</v>
      </c>
      <c r="AI105">
        <f t="shared" si="130"/>
        <v>0</v>
      </c>
      <c r="AJ105">
        <f t="shared" si="131"/>
        <v>0</v>
      </c>
      <c r="AK105">
        <v>11315</v>
      </c>
      <c r="AL105">
        <v>11315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10.11</v>
      </c>
      <c r="BD105" t="s">
        <v>3</v>
      </c>
      <c r="BE105" t="s">
        <v>3</v>
      </c>
      <c r="BF105" t="s">
        <v>3</v>
      </c>
      <c r="BG105" t="s">
        <v>3</v>
      </c>
      <c r="BH105">
        <v>3</v>
      </c>
      <c r="BI105">
        <v>1</v>
      </c>
      <c r="BJ105" t="s">
        <v>212</v>
      </c>
      <c r="BM105">
        <v>500001</v>
      </c>
      <c r="BN105">
        <v>0</v>
      </c>
      <c r="BO105" t="s">
        <v>210</v>
      </c>
      <c r="BP105">
        <v>1</v>
      </c>
      <c r="BQ105">
        <v>8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3</v>
      </c>
      <c r="BZ105">
        <v>0</v>
      </c>
      <c r="CA105">
        <v>0</v>
      </c>
      <c r="CB105" t="s">
        <v>3</v>
      </c>
      <c r="CE105">
        <v>0</v>
      </c>
      <c r="CF105">
        <v>0</v>
      </c>
      <c r="CG105">
        <v>0</v>
      </c>
      <c r="CM105">
        <v>0</v>
      </c>
      <c r="CN105" t="s">
        <v>3</v>
      </c>
      <c r="CO105">
        <v>0</v>
      </c>
      <c r="CP105">
        <f t="shared" si="132"/>
        <v>5742.61</v>
      </c>
      <c r="CQ105">
        <f t="shared" si="133"/>
        <v>114394.65</v>
      </c>
      <c r="CR105">
        <f t="shared" si="134"/>
        <v>0</v>
      </c>
      <c r="CS105">
        <f t="shared" si="135"/>
        <v>0</v>
      </c>
      <c r="CT105">
        <f t="shared" si="136"/>
        <v>0</v>
      </c>
      <c r="CU105">
        <f t="shared" si="137"/>
        <v>0</v>
      </c>
      <c r="CV105">
        <f t="shared" si="138"/>
        <v>0</v>
      </c>
      <c r="CW105">
        <f t="shared" si="139"/>
        <v>0</v>
      </c>
      <c r="CX105">
        <f t="shared" si="140"/>
        <v>0</v>
      </c>
      <c r="CY105">
        <f>0</f>
        <v>0</v>
      </c>
      <c r="CZ105">
        <f>0</f>
        <v>0</v>
      </c>
      <c r="DC105" t="s">
        <v>3</v>
      </c>
      <c r="DD105" t="s">
        <v>3</v>
      </c>
      <c r="DE105" t="s">
        <v>3</v>
      </c>
      <c r="DF105" t="s">
        <v>3</v>
      </c>
      <c r="DG105" t="s">
        <v>3</v>
      </c>
      <c r="DH105" t="s">
        <v>3</v>
      </c>
      <c r="DI105" t="s">
        <v>3</v>
      </c>
      <c r="DJ105" t="s">
        <v>3</v>
      </c>
      <c r="DK105" t="s">
        <v>3</v>
      </c>
      <c r="DL105" t="s">
        <v>3</v>
      </c>
      <c r="DM105" t="s">
        <v>3</v>
      </c>
      <c r="DN105">
        <v>0</v>
      </c>
      <c r="DO105">
        <v>0</v>
      </c>
      <c r="DP105">
        <v>1</v>
      </c>
      <c r="DQ105">
        <v>1</v>
      </c>
      <c r="DU105">
        <v>1009</v>
      </c>
      <c r="DV105" t="s">
        <v>170</v>
      </c>
      <c r="DW105" t="s">
        <v>170</v>
      </c>
      <c r="DX105">
        <v>1000</v>
      </c>
      <c r="DZ105" t="s">
        <v>3</v>
      </c>
      <c r="EA105" t="s">
        <v>3</v>
      </c>
      <c r="EB105" t="s">
        <v>3</v>
      </c>
      <c r="EC105" t="s">
        <v>3</v>
      </c>
      <c r="EE105">
        <v>92109332</v>
      </c>
      <c r="EF105">
        <v>8</v>
      </c>
      <c r="EG105" t="s">
        <v>154</v>
      </c>
      <c r="EH105">
        <v>0</v>
      </c>
      <c r="EI105" t="s">
        <v>3</v>
      </c>
      <c r="EJ105">
        <v>1</v>
      </c>
      <c r="EK105">
        <v>500001</v>
      </c>
      <c r="EL105" t="s">
        <v>155</v>
      </c>
      <c r="EM105" t="s">
        <v>156</v>
      </c>
      <c r="EO105" t="s">
        <v>3</v>
      </c>
      <c r="EQ105">
        <v>0</v>
      </c>
      <c r="ER105">
        <v>11315</v>
      </c>
      <c r="ES105">
        <v>11315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FQ105">
        <v>0</v>
      </c>
      <c r="FR105">
        <f t="shared" si="141"/>
        <v>0</v>
      </c>
      <c r="FS105">
        <v>0</v>
      </c>
      <c r="FX105">
        <v>0</v>
      </c>
      <c r="FY105">
        <v>0</v>
      </c>
      <c r="GA105" t="s">
        <v>3</v>
      </c>
      <c r="GD105">
        <v>1</v>
      </c>
      <c r="GF105">
        <v>-1753768920</v>
      </c>
      <c r="GG105">
        <v>2</v>
      </c>
      <c r="GH105">
        <v>1</v>
      </c>
      <c r="GI105">
        <v>2</v>
      </c>
      <c r="GJ105">
        <v>0</v>
      </c>
      <c r="GK105">
        <v>0</v>
      </c>
      <c r="GL105">
        <f t="shared" si="142"/>
        <v>0</v>
      </c>
      <c r="GM105">
        <f t="shared" si="143"/>
        <v>5742.61</v>
      </c>
      <c r="GN105">
        <f t="shared" si="144"/>
        <v>5742.61</v>
      </c>
      <c r="GO105">
        <f t="shared" si="145"/>
        <v>0</v>
      </c>
      <c r="GP105">
        <f t="shared" si="146"/>
        <v>0</v>
      </c>
      <c r="GR105">
        <v>0</v>
      </c>
      <c r="GS105">
        <v>3</v>
      </c>
      <c r="GT105">
        <v>0</v>
      </c>
      <c r="GU105" t="s">
        <v>3</v>
      </c>
      <c r="GV105">
        <f t="shared" si="147"/>
        <v>0</v>
      </c>
      <c r="GW105">
        <v>1</v>
      </c>
      <c r="GX105">
        <f t="shared" si="148"/>
        <v>0</v>
      </c>
      <c r="HA105">
        <v>0</v>
      </c>
      <c r="HB105">
        <v>0</v>
      </c>
      <c r="HC105">
        <f t="shared" si="149"/>
        <v>0</v>
      </c>
      <c r="HE105" t="s">
        <v>3</v>
      </c>
      <c r="HF105" t="s">
        <v>3</v>
      </c>
      <c r="HM105" t="s">
        <v>3</v>
      </c>
      <c r="HN105" t="s">
        <v>3</v>
      </c>
      <c r="HO105" t="s">
        <v>3</v>
      </c>
      <c r="HP105" t="s">
        <v>3</v>
      </c>
      <c r="HQ105" t="s">
        <v>3</v>
      </c>
      <c r="IK105">
        <v>0</v>
      </c>
    </row>
    <row r="106" spans="1:245" x14ac:dyDescent="0.2">
      <c r="A106">
        <v>17</v>
      </c>
      <c r="B106">
        <v>1</v>
      </c>
      <c r="E106" t="s">
        <v>213</v>
      </c>
      <c r="F106" t="s">
        <v>214</v>
      </c>
      <c r="G106" t="s">
        <v>215</v>
      </c>
      <c r="H106" t="s">
        <v>52</v>
      </c>
      <c r="I106">
        <v>0.1268</v>
      </c>
      <c r="J106">
        <v>0</v>
      </c>
      <c r="K106">
        <v>0.1268</v>
      </c>
      <c r="O106">
        <f t="shared" si="112"/>
        <v>1066.82</v>
      </c>
      <c r="P106">
        <f t="shared" si="113"/>
        <v>1066.82</v>
      </c>
      <c r="Q106">
        <f t="shared" si="114"/>
        <v>0</v>
      </c>
      <c r="R106">
        <f t="shared" si="115"/>
        <v>0</v>
      </c>
      <c r="S106">
        <f t="shared" si="116"/>
        <v>0</v>
      </c>
      <c r="T106">
        <f t="shared" si="117"/>
        <v>0</v>
      </c>
      <c r="U106">
        <f t="shared" si="118"/>
        <v>0</v>
      </c>
      <c r="V106">
        <f t="shared" si="119"/>
        <v>0</v>
      </c>
      <c r="W106">
        <f t="shared" si="120"/>
        <v>0</v>
      </c>
      <c r="X106">
        <f t="shared" si="121"/>
        <v>0</v>
      </c>
      <c r="Y106">
        <f t="shared" si="122"/>
        <v>0</v>
      </c>
      <c r="AA106">
        <v>94798619</v>
      </c>
      <c r="AB106">
        <f t="shared" si="123"/>
        <v>620</v>
      </c>
      <c r="AC106">
        <f t="shared" si="124"/>
        <v>620</v>
      </c>
      <c r="AD106">
        <f t="shared" si="125"/>
        <v>0</v>
      </c>
      <c r="AE106">
        <f t="shared" si="126"/>
        <v>0</v>
      </c>
      <c r="AF106">
        <f t="shared" si="127"/>
        <v>0</v>
      </c>
      <c r="AG106">
        <f t="shared" si="128"/>
        <v>0</v>
      </c>
      <c r="AH106">
        <f t="shared" si="129"/>
        <v>0</v>
      </c>
      <c r="AI106">
        <f t="shared" si="130"/>
        <v>0</v>
      </c>
      <c r="AJ106">
        <f t="shared" si="131"/>
        <v>0</v>
      </c>
      <c r="AK106">
        <v>620</v>
      </c>
      <c r="AL106">
        <v>620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1</v>
      </c>
      <c r="AW106">
        <v>1</v>
      </c>
      <c r="AZ106">
        <v>1</v>
      </c>
      <c r="BA106">
        <v>1</v>
      </c>
      <c r="BB106">
        <v>1</v>
      </c>
      <c r="BC106">
        <v>13.57</v>
      </c>
      <c r="BD106" t="s">
        <v>3</v>
      </c>
      <c r="BE106" t="s">
        <v>3</v>
      </c>
      <c r="BF106" t="s">
        <v>3</v>
      </c>
      <c r="BG106" t="s">
        <v>3</v>
      </c>
      <c r="BH106">
        <v>3</v>
      </c>
      <c r="BI106">
        <v>1</v>
      </c>
      <c r="BJ106" t="s">
        <v>216</v>
      </c>
      <c r="BM106">
        <v>500001</v>
      </c>
      <c r="BN106">
        <v>0</v>
      </c>
      <c r="BO106" t="s">
        <v>214</v>
      </c>
      <c r="BP106">
        <v>1</v>
      </c>
      <c r="BQ106">
        <v>8</v>
      </c>
      <c r="BR106">
        <v>0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 t="s">
        <v>3</v>
      </c>
      <c r="BZ106">
        <v>0</v>
      </c>
      <c r="CA106">
        <v>0</v>
      </c>
      <c r="CB106" t="s">
        <v>3</v>
      </c>
      <c r="CE106">
        <v>0</v>
      </c>
      <c r="CF106">
        <v>0</v>
      </c>
      <c r="CG106">
        <v>0</v>
      </c>
      <c r="CM106">
        <v>0</v>
      </c>
      <c r="CN106" t="s">
        <v>3</v>
      </c>
      <c r="CO106">
        <v>0</v>
      </c>
      <c r="CP106">
        <f t="shared" si="132"/>
        <v>1066.82</v>
      </c>
      <c r="CQ106">
        <f t="shared" si="133"/>
        <v>8413.4</v>
      </c>
      <c r="CR106">
        <f t="shared" si="134"/>
        <v>0</v>
      </c>
      <c r="CS106">
        <f t="shared" si="135"/>
        <v>0</v>
      </c>
      <c r="CT106">
        <f t="shared" si="136"/>
        <v>0</v>
      </c>
      <c r="CU106">
        <f t="shared" si="137"/>
        <v>0</v>
      </c>
      <c r="CV106">
        <f t="shared" si="138"/>
        <v>0</v>
      </c>
      <c r="CW106">
        <f t="shared" si="139"/>
        <v>0</v>
      </c>
      <c r="CX106">
        <f t="shared" si="140"/>
        <v>0</v>
      </c>
      <c r="CY106">
        <f>0</f>
        <v>0</v>
      </c>
      <c r="CZ106">
        <f>0</f>
        <v>0</v>
      </c>
      <c r="DC106" t="s">
        <v>3</v>
      </c>
      <c r="DD106" t="s">
        <v>3</v>
      </c>
      <c r="DE106" t="s">
        <v>3</v>
      </c>
      <c r="DF106" t="s">
        <v>3</v>
      </c>
      <c r="DG106" t="s">
        <v>3</v>
      </c>
      <c r="DH106" t="s">
        <v>3</v>
      </c>
      <c r="DI106" t="s">
        <v>3</v>
      </c>
      <c r="DJ106" t="s">
        <v>3</v>
      </c>
      <c r="DK106" t="s">
        <v>3</v>
      </c>
      <c r="DL106" t="s">
        <v>3</v>
      </c>
      <c r="DM106" t="s">
        <v>3</v>
      </c>
      <c r="DN106">
        <v>0</v>
      </c>
      <c r="DO106">
        <v>0</v>
      </c>
      <c r="DP106">
        <v>1</v>
      </c>
      <c r="DQ106">
        <v>1</v>
      </c>
      <c r="DU106">
        <v>1007</v>
      </c>
      <c r="DV106" t="s">
        <v>52</v>
      </c>
      <c r="DW106" t="s">
        <v>52</v>
      </c>
      <c r="DX106">
        <v>1</v>
      </c>
      <c r="DZ106" t="s">
        <v>3</v>
      </c>
      <c r="EA106" t="s">
        <v>3</v>
      </c>
      <c r="EB106" t="s">
        <v>3</v>
      </c>
      <c r="EC106" t="s">
        <v>3</v>
      </c>
      <c r="EE106">
        <v>92109332</v>
      </c>
      <c r="EF106">
        <v>8</v>
      </c>
      <c r="EG106" t="s">
        <v>154</v>
      </c>
      <c r="EH106">
        <v>0</v>
      </c>
      <c r="EI106" t="s">
        <v>3</v>
      </c>
      <c r="EJ106">
        <v>1</v>
      </c>
      <c r="EK106">
        <v>500001</v>
      </c>
      <c r="EL106" t="s">
        <v>155</v>
      </c>
      <c r="EM106" t="s">
        <v>156</v>
      </c>
      <c r="EO106" t="s">
        <v>3</v>
      </c>
      <c r="EQ106">
        <v>0</v>
      </c>
      <c r="ER106">
        <v>620</v>
      </c>
      <c r="ES106">
        <v>620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FQ106">
        <v>0</v>
      </c>
      <c r="FR106">
        <f t="shared" si="141"/>
        <v>0</v>
      </c>
      <c r="FS106">
        <v>0</v>
      </c>
      <c r="FX106">
        <v>0</v>
      </c>
      <c r="FY106">
        <v>0</v>
      </c>
      <c r="GA106" t="s">
        <v>3</v>
      </c>
      <c r="GD106">
        <v>1</v>
      </c>
      <c r="GF106">
        <v>212600257</v>
      </c>
      <c r="GG106">
        <v>2</v>
      </c>
      <c r="GH106">
        <v>1</v>
      </c>
      <c r="GI106">
        <v>2</v>
      </c>
      <c r="GJ106">
        <v>0</v>
      </c>
      <c r="GK106">
        <v>0</v>
      </c>
      <c r="GL106">
        <f t="shared" si="142"/>
        <v>0</v>
      </c>
      <c r="GM106">
        <f t="shared" si="143"/>
        <v>1066.82</v>
      </c>
      <c r="GN106">
        <f t="shared" si="144"/>
        <v>1066.82</v>
      </c>
      <c r="GO106">
        <f t="shared" si="145"/>
        <v>0</v>
      </c>
      <c r="GP106">
        <f t="shared" si="146"/>
        <v>0</v>
      </c>
      <c r="GR106">
        <v>0</v>
      </c>
      <c r="GS106">
        <v>3</v>
      </c>
      <c r="GT106">
        <v>0</v>
      </c>
      <c r="GU106" t="s">
        <v>3</v>
      </c>
      <c r="GV106">
        <f t="shared" si="147"/>
        <v>0</v>
      </c>
      <c r="GW106">
        <v>1</v>
      </c>
      <c r="GX106">
        <f t="shared" si="148"/>
        <v>0</v>
      </c>
      <c r="HA106">
        <v>0</v>
      </c>
      <c r="HB106">
        <v>0</v>
      </c>
      <c r="HC106">
        <f t="shared" si="149"/>
        <v>0</v>
      </c>
      <c r="HE106" t="s">
        <v>3</v>
      </c>
      <c r="HF106" t="s">
        <v>3</v>
      </c>
      <c r="HM106" t="s">
        <v>3</v>
      </c>
      <c r="HN106" t="s">
        <v>3</v>
      </c>
      <c r="HO106" t="s">
        <v>3</v>
      </c>
      <c r="HP106" t="s">
        <v>3</v>
      </c>
      <c r="HQ106" t="s">
        <v>3</v>
      </c>
      <c r="IK106">
        <v>0</v>
      </c>
    </row>
    <row r="107" spans="1:245" x14ac:dyDescent="0.2">
      <c r="A107">
        <v>17</v>
      </c>
      <c r="B107">
        <v>1</v>
      </c>
      <c r="C107">
        <f>ROW(SmtRes!A103)</f>
        <v>103</v>
      </c>
      <c r="D107">
        <f>ROW(EtalonRes!A103)</f>
        <v>103</v>
      </c>
      <c r="E107" t="s">
        <v>217</v>
      </c>
      <c r="F107" t="s">
        <v>218</v>
      </c>
      <c r="G107" t="s">
        <v>219</v>
      </c>
      <c r="H107" t="s">
        <v>220</v>
      </c>
      <c r="I107">
        <v>0.23300000000000001</v>
      </c>
      <c r="J107">
        <v>0</v>
      </c>
      <c r="K107">
        <v>0.23300000000000001</v>
      </c>
      <c r="O107">
        <f t="shared" si="112"/>
        <v>30341.4</v>
      </c>
      <c r="P107">
        <f t="shared" si="113"/>
        <v>20690.02</v>
      </c>
      <c r="Q107">
        <f t="shared" si="114"/>
        <v>785.9</v>
      </c>
      <c r="R107">
        <f t="shared" si="115"/>
        <v>111.85</v>
      </c>
      <c r="S107">
        <f t="shared" si="116"/>
        <v>8865.48</v>
      </c>
      <c r="T107">
        <f t="shared" si="117"/>
        <v>0</v>
      </c>
      <c r="U107">
        <f t="shared" si="118"/>
        <v>27.96</v>
      </c>
      <c r="V107">
        <f t="shared" si="119"/>
        <v>0.31222000000000005</v>
      </c>
      <c r="W107">
        <f t="shared" si="120"/>
        <v>0</v>
      </c>
      <c r="X107">
        <f t="shared" si="121"/>
        <v>8079.6</v>
      </c>
      <c r="Y107">
        <f t="shared" si="122"/>
        <v>4039.8</v>
      </c>
      <c r="AA107">
        <v>94798619</v>
      </c>
      <c r="AB107">
        <f t="shared" si="123"/>
        <v>7814.57</v>
      </c>
      <c r="AC107">
        <f t="shared" si="124"/>
        <v>6356.36</v>
      </c>
      <c r="AD107">
        <f t="shared" si="125"/>
        <v>379.41</v>
      </c>
      <c r="AE107">
        <f t="shared" si="126"/>
        <v>13.61</v>
      </c>
      <c r="AF107">
        <f t="shared" si="127"/>
        <v>1078.8</v>
      </c>
      <c r="AG107">
        <f t="shared" si="128"/>
        <v>0</v>
      </c>
      <c r="AH107">
        <f t="shared" si="129"/>
        <v>120</v>
      </c>
      <c r="AI107">
        <f t="shared" si="130"/>
        <v>1.34</v>
      </c>
      <c r="AJ107">
        <f t="shared" si="131"/>
        <v>0</v>
      </c>
      <c r="AK107">
        <v>7814.57</v>
      </c>
      <c r="AL107">
        <v>6356.36</v>
      </c>
      <c r="AM107">
        <v>379.41</v>
      </c>
      <c r="AN107">
        <v>13.61</v>
      </c>
      <c r="AO107">
        <v>1078.8</v>
      </c>
      <c r="AP107">
        <v>0</v>
      </c>
      <c r="AQ107">
        <v>120</v>
      </c>
      <c r="AR107">
        <v>1.34</v>
      </c>
      <c r="AS107">
        <v>0</v>
      </c>
      <c r="AT107">
        <v>90</v>
      </c>
      <c r="AU107">
        <v>45</v>
      </c>
      <c r="AV107">
        <v>1</v>
      </c>
      <c r="AW107">
        <v>1</v>
      </c>
      <c r="AZ107">
        <v>1</v>
      </c>
      <c r="BA107">
        <v>35.270000000000003</v>
      </c>
      <c r="BB107">
        <v>8.89</v>
      </c>
      <c r="BC107">
        <v>13.97</v>
      </c>
      <c r="BD107" t="s">
        <v>3</v>
      </c>
      <c r="BE107" t="s">
        <v>3</v>
      </c>
      <c r="BF107" t="s">
        <v>3</v>
      </c>
      <c r="BG107" t="s">
        <v>3</v>
      </c>
      <c r="BH107">
        <v>0</v>
      </c>
      <c r="BI107">
        <v>2</v>
      </c>
      <c r="BJ107" t="s">
        <v>221</v>
      </c>
      <c r="BM107">
        <v>138001</v>
      </c>
      <c r="BN107">
        <v>0</v>
      </c>
      <c r="BO107" t="s">
        <v>218</v>
      </c>
      <c r="BP107">
        <v>1</v>
      </c>
      <c r="BQ107">
        <v>3</v>
      </c>
      <c r="BR107">
        <v>0</v>
      </c>
      <c r="BS107">
        <v>35.270000000000003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3</v>
      </c>
      <c r="BZ107">
        <v>90</v>
      </c>
      <c r="CA107">
        <v>45</v>
      </c>
      <c r="CB107" t="s">
        <v>3</v>
      </c>
      <c r="CE107">
        <v>0</v>
      </c>
      <c r="CF107">
        <v>0</v>
      </c>
      <c r="CG107">
        <v>0</v>
      </c>
      <c r="CM107">
        <v>0</v>
      </c>
      <c r="CN107" t="s">
        <v>3</v>
      </c>
      <c r="CO107">
        <v>0</v>
      </c>
      <c r="CP107">
        <f t="shared" si="132"/>
        <v>30341.4</v>
      </c>
      <c r="CQ107">
        <f t="shared" si="133"/>
        <v>88798.349199999997</v>
      </c>
      <c r="CR107">
        <f t="shared" si="134"/>
        <v>3372.9549000000006</v>
      </c>
      <c r="CS107">
        <f t="shared" si="135"/>
        <v>480.0247</v>
      </c>
      <c r="CT107">
        <f t="shared" si="136"/>
        <v>38049.276000000005</v>
      </c>
      <c r="CU107">
        <f t="shared" si="137"/>
        <v>0</v>
      </c>
      <c r="CV107">
        <f t="shared" si="138"/>
        <v>120</v>
      </c>
      <c r="CW107">
        <f t="shared" si="139"/>
        <v>1.34</v>
      </c>
      <c r="CX107">
        <f t="shared" si="140"/>
        <v>0</v>
      </c>
      <c r="CY107">
        <f>(((S107+R107)*AT107)/100)</f>
        <v>8079.5969999999998</v>
      </c>
      <c r="CZ107">
        <f>(((S107+R107)*AU107)/100)</f>
        <v>4039.7984999999999</v>
      </c>
      <c r="DC107" t="s">
        <v>3</v>
      </c>
      <c r="DD107" t="s">
        <v>3</v>
      </c>
      <c r="DE107" t="s">
        <v>3</v>
      </c>
      <c r="DF107" t="s">
        <v>3</v>
      </c>
      <c r="DG107" t="s">
        <v>3</v>
      </c>
      <c r="DH107" t="s">
        <v>3</v>
      </c>
      <c r="DI107" t="s">
        <v>3</v>
      </c>
      <c r="DJ107" t="s">
        <v>3</v>
      </c>
      <c r="DK107" t="s">
        <v>3</v>
      </c>
      <c r="DL107" t="s">
        <v>3</v>
      </c>
      <c r="DM107" t="s">
        <v>3</v>
      </c>
      <c r="DN107">
        <v>0</v>
      </c>
      <c r="DO107">
        <v>0</v>
      </c>
      <c r="DP107">
        <v>1</v>
      </c>
      <c r="DQ107">
        <v>1</v>
      </c>
      <c r="DU107">
        <v>1013</v>
      </c>
      <c r="DV107" t="s">
        <v>220</v>
      </c>
      <c r="DW107" t="s">
        <v>220</v>
      </c>
      <c r="DX107">
        <v>1</v>
      </c>
      <c r="DZ107" t="s">
        <v>3</v>
      </c>
      <c r="EA107" t="s">
        <v>3</v>
      </c>
      <c r="EB107" t="s">
        <v>3</v>
      </c>
      <c r="EC107" t="s">
        <v>3</v>
      </c>
      <c r="EE107">
        <v>92109319</v>
      </c>
      <c r="EF107">
        <v>3</v>
      </c>
      <c r="EG107" t="s">
        <v>222</v>
      </c>
      <c r="EH107">
        <v>80</v>
      </c>
      <c r="EI107" t="s">
        <v>223</v>
      </c>
      <c r="EJ107">
        <v>2</v>
      </c>
      <c r="EK107">
        <v>138001</v>
      </c>
      <c r="EL107" t="s">
        <v>223</v>
      </c>
      <c r="EM107" t="s">
        <v>224</v>
      </c>
      <c r="EO107" t="s">
        <v>3</v>
      </c>
      <c r="EQ107">
        <v>0</v>
      </c>
      <c r="ER107">
        <v>7814.57</v>
      </c>
      <c r="ES107">
        <v>6356.36</v>
      </c>
      <c r="ET107">
        <v>379.41</v>
      </c>
      <c r="EU107">
        <v>13.61</v>
      </c>
      <c r="EV107">
        <v>1078.8</v>
      </c>
      <c r="EW107">
        <v>120</v>
      </c>
      <c r="EX107">
        <v>1.34</v>
      </c>
      <c r="EY107">
        <v>0</v>
      </c>
      <c r="FQ107">
        <v>0</v>
      </c>
      <c r="FR107">
        <f t="shared" si="141"/>
        <v>0</v>
      </c>
      <c r="FS107">
        <v>0</v>
      </c>
      <c r="FX107">
        <v>90</v>
      </c>
      <c r="FY107">
        <v>45</v>
      </c>
      <c r="GA107" t="s">
        <v>3</v>
      </c>
      <c r="GD107">
        <v>1</v>
      </c>
      <c r="GF107">
        <v>-1490527497</v>
      </c>
      <c r="GG107">
        <v>2</v>
      </c>
      <c r="GH107">
        <v>1</v>
      </c>
      <c r="GI107">
        <v>2</v>
      </c>
      <c r="GJ107">
        <v>0</v>
      </c>
      <c r="GK107">
        <v>0</v>
      </c>
      <c r="GL107">
        <f t="shared" si="142"/>
        <v>0</v>
      </c>
      <c r="GM107">
        <f t="shared" si="143"/>
        <v>42460.800000000003</v>
      </c>
      <c r="GN107">
        <f t="shared" si="144"/>
        <v>0</v>
      </c>
      <c r="GO107">
        <f t="shared" si="145"/>
        <v>42460.800000000003</v>
      </c>
      <c r="GP107">
        <f t="shared" si="146"/>
        <v>0</v>
      </c>
      <c r="GR107">
        <v>0</v>
      </c>
      <c r="GS107">
        <v>3</v>
      </c>
      <c r="GT107">
        <v>0</v>
      </c>
      <c r="GU107" t="s">
        <v>3</v>
      </c>
      <c r="GV107">
        <f t="shared" si="147"/>
        <v>0</v>
      </c>
      <c r="GW107">
        <v>1</v>
      </c>
      <c r="GX107">
        <f t="shared" si="148"/>
        <v>0</v>
      </c>
      <c r="HA107">
        <v>0</v>
      </c>
      <c r="HB107">
        <v>0</v>
      </c>
      <c r="HC107">
        <f t="shared" si="149"/>
        <v>0</v>
      </c>
      <c r="HE107" t="s">
        <v>3</v>
      </c>
      <c r="HF107" t="s">
        <v>3</v>
      </c>
      <c r="HM107" t="s">
        <v>3</v>
      </c>
      <c r="HN107" t="s">
        <v>225</v>
      </c>
      <c r="HO107" t="s">
        <v>226</v>
      </c>
      <c r="HP107" t="s">
        <v>223</v>
      </c>
      <c r="HQ107" t="s">
        <v>223</v>
      </c>
      <c r="IK107">
        <v>0</v>
      </c>
    </row>
    <row r="108" spans="1:245" x14ac:dyDescent="0.2">
      <c r="A108">
        <v>18</v>
      </c>
      <c r="B108">
        <v>1</v>
      </c>
      <c r="C108">
        <v>100</v>
      </c>
      <c r="E108" t="s">
        <v>227</v>
      </c>
      <c r="F108" t="s">
        <v>228</v>
      </c>
      <c r="G108" t="s">
        <v>229</v>
      </c>
      <c r="H108" t="s">
        <v>170</v>
      </c>
      <c r="I108">
        <f>I107*J108</f>
        <v>-0.24045600000000003</v>
      </c>
      <c r="J108">
        <v>-1.032</v>
      </c>
      <c r="K108">
        <v>-1.032</v>
      </c>
      <c r="O108">
        <f t="shared" si="112"/>
        <v>-19873.78</v>
      </c>
      <c r="P108">
        <f t="shared" si="113"/>
        <v>-19873.78</v>
      </c>
      <c r="Q108">
        <f t="shared" si="114"/>
        <v>0</v>
      </c>
      <c r="R108">
        <f t="shared" si="115"/>
        <v>0</v>
      </c>
      <c r="S108">
        <f t="shared" si="116"/>
        <v>0</v>
      </c>
      <c r="T108">
        <f t="shared" si="117"/>
        <v>0</v>
      </c>
      <c r="U108">
        <f t="shared" si="118"/>
        <v>0</v>
      </c>
      <c r="V108">
        <f t="shared" si="119"/>
        <v>0</v>
      </c>
      <c r="W108">
        <f t="shared" si="120"/>
        <v>0</v>
      </c>
      <c r="X108">
        <f t="shared" si="121"/>
        <v>0</v>
      </c>
      <c r="Y108">
        <f t="shared" si="122"/>
        <v>0</v>
      </c>
      <c r="AA108">
        <v>94798619</v>
      </c>
      <c r="AB108">
        <f t="shared" si="123"/>
        <v>5903.6</v>
      </c>
      <c r="AC108">
        <f t="shared" si="124"/>
        <v>5903.6</v>
      </c>
      <c r="AD108">
        <f t="shared" si="125"/>
        <v>0</v>
      </c>
      <c r="AE108">
        <f t="shared" si="126"/>
        <v>0</v>
      </c>
      <c r="AF108">
        <f t="shared" si="127"/>
        <v>0</v>
      </c>
      <c r="AG108">
        <f t="shared" si="128"/>
        <v>0</v>
      </c>
      <c r="AH108">
        <f t="shared" si="129"/>
        <v>0</v>
      </c>
      <c r="AI108">
        <f t="shared" si="130"/>
        <v>0</v>
      </c>
      <c r="AJ108">
        <f t="shared" si="131"/>
        <v>0</v>
      </c>
      <c r="AK108">
        <v>5903.6</v>
      </c>
      <c r="AL108">
        <v>5903.6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90</v>
      </c>
      <c r="AU108">
        <v>45</v>
      </c>
      <c r="AV108">
        <v>1</v>
      </c>
      <c r="AW108">
        <v>1</v>
      </c>
      <c r="AZ108">
        <v>1</v>
      </c>
      <c r="BA108">
        <v>1</v>
      </c>
      <c r="BB108">
        <v>1</v>
      </c>
      <c r="BC108">
        <v>14</v>
      </c>
      <c r="BD108" t="s">
        <v>3</v>
      </c>
      <c r="BE108" t="s">
        <v>3</v>
      </c>
      <c r="BF108" t="s">
        <v>3</v>
      </c>
      <c r="BG108" t="s">
        <v>3</v>
      </c>
      <c r="BH108">
        <v>3</v>
      </c>
      <c r="BI108">
        <v>2</v>
      </c>
      <c r="BJ108" t="s">
        <v>230</v>
      </c>
      <c r="BM108">
        <v>138001</v>
      </c>
      <c r="BN108">
        <v>0</v>
      </c>
      <c r="BO108" t="s">
        <v>228</v>
      </c>
      <c r="BP108">
        <v>1</v>
      </c>
      <c r="BQ108">
        <v>3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3</v>
      </c>
      <c r="BZ108">
        <v>90</v>
      </c>
      <c r="CA108">
        <v>45</v>
      </c>
      <c r="CB108" t="s">
        <v>3</v>
      </c>
      <c r="CE108">
        <v>0</v>
      </c>
      <c r="CF108">
        <v>0</v>
      </c>
      <c r="CG108">
        <v>0</v>
      </c>
      <c r="CM108">
        <v>0</v>
      </c>
      <c r="CN108" t="s">
        <v>3</v>
      </c>
      <c r="CO108">
        <v>0</v>
      </c>
      <c r="CP108">
        <f t="shared" si="132"/>
        <v>-19873.78</v>
      </c>
      <c r="CQ108">
        <f t="shared" si="133"/>
        <v>82650.400000000009</v>
      </c>
      <c r="CR108">
        <f t="shared" si="134"/>
        <v>0</v>
      </c>
      <c r="CS108">
        <f t="shared" si="135"/>
        <v>0</v>
      </c>
      <c r="CT108">
        <f t="shared" si="136"/>
        <v>0</v>
      </c>
      <c r="CU108">
        <f t="shared" si="137"/>
        <v>0</v>
      </c>
      <c r="CV108">
        <f t="shared" si="138"/>
        <v>0</v>
      </c>
      <c r="CW108">
        <f t="shared" si="139"/>
        <v>0</v>
      </c>
      <c r="CX108">
        <f t="shared" si="140"/>
        <v>0</v>
      </c>
      <c r="CY108">
        <f>(((S108+R108)*AT108)/100)</f>
        <v>0</v>
      </c>
      <c r="CZ108">
        <f>(((S108+R108)*AU108)/100)</f>
        <v>0</v>
      </c>
      <c r="DC108" t="s">
        <v>3</v>
      </c>
      <c r="DD108" t="s">
        <v>3</v>
      </c>
      <c r="DE108" t="s">
        <v>3</v>
      </c>
      <c r="DF108" t="s">
        <v>3</v>
      </c>
      <c r="DG108" t="s">
        <v>3</v>
      </c>
      <c r="DH108" t="s">
        <v>3</v>
      </c>
      <c r="DI108" t="s">
        <v>3</v>
      </c>
      <c r="DJ108" t="s">
        <v>3</v>
      </c>
      <c r="DK108" t="s">
        <v>3</v>
      </c>
      <c r="DL108" t="s">
        <v>3</v>
      </c>
      <c r="DM108" t="s">
        <v>3</v>
      </c>
      <c r="DN108">
        <v>0</v>
      </c>
      <c r="DO108">
        <v>0</v>
      </c>
      <c r="DP108">
        <v>1</v>
      </c>
      <c r="DQ108">
        <v>1</v>
      </c>
      <c r="DU108">
        <v>1009</v>
      </c>
      <c r="DV108" t="s">
        <v>170</v>
      </c>
      <c r="DW108" t="s">
        <v>170</v>
      </c>
      <c r="DX108">
        <v>1000</v>
      </c>
      <c r="DZ108" t="s">
        <v>3</v>
      </c>
      <c r="EA108" t="s">
        <v>3</v>
      </c>
      <c r="EB108" t="s">
        <v>3</v>
      </c>
      <c r="EC108" t="s">
        <v>3</v>
      </c>
      <c r="EE108">
        <v>92109319</v>
      </c>
      <c r="EF108">
        <v>3</v>
      </c>
      <c r="EG108" t="s">
        <v>222</v>
      </c>
      <c r="EH108">
        <v>80</v>
      </c>
      <c r="EI108" t="s">
        <v>223</v>
      </c>
      <c r="EJ108">
        <v>2</v>
      </c>
      <c r="EK108">
        <v>138001</v>
      </c>
      <c r="EL108" t="s">
        <v>223</v>
      </c>
      <c r="EM108" t="s">
        <v>224</v>
      </c>
      <c r="EO108" t="s">
        <v>3</v>
      </c>
      <c r="EQ108">
        <v>0</v>
      </c>
      <c r="ER108">
        <v>5903.6</v>
      </c>
      <c r="ES108">
        <v>5903.6</v>
      </c>
      <c r="ET108">
        <v>0</v>
      </c>
      <c r="EU108">
        <v>0</v>
      </c>
      <c r="EV108">
        <v>0</v>
      </c>
      <c r="EW108">
        <v>0</v>
      </c>
      <c r="EX108">
        <v>0</v>
      </c>
      <c r="FQ108">
        <v>0</v>
      </c>
      <c r="FR108">
        <f t="shared" si="141"/>
        <v>0</v>
      </c>
      <c r="FS108">
        <v>0</v>
      </c>
      <c r="FX108">
        <v>90</v>
      </c>
      <c r="FY108">
        <v>45</v>
      </c>
      <c r="GA108" t="s">
        <v>3</v>
      </c>
      <c r="GD108">
        <v>1</v>
      </c>
      <c r="GF108">
        <v>-723893086</v>
      </c>
      <c r="GG108">
        <v>2</v>
      </c>
      <c r="GH108">
        <v>1</v>
      </c>
      <c r="GI108">
        <v>2</v>
      </c>
      <c r="GJ108">
        <v>0</v>
      </c>
      <c r="GK108">
        <v>0</v>
      </c>
      <c r="GL108">
        <f t="shared" si="142"/>
        <v>0</v>
      </c>
      <c r="GM108">
        <f t="shared" si="143"/>
        <v>-19873.78</v>
      </c>
      <c r="GN108">
        <f t="shared" si="144"/>
        <v>0</v>
      </c>
      <c r="GO108">
        <f t="shared" si="145"/>
        <v>-19873.78</v>
      </c>
      <c r="GP108">
        <f t="shared" si="146"/>
        <v>0</v>
      </c>
      <c r="GR108">
        <v>0</v>
      </c>
      <c r="GS108">
        <v>3</v>
      </c>
      <c r="GT108">
        <v>0</v>
      </c>
      <c r="GU108" t="s">
        <v>3</v>
      </c>
      <c r="GV108">
        <f t="shared" si="147"/>
        <v>0</v>
      </c>
      <c r="GW108">
        <v>1</v>
      </c>
      <c r="GX108">
        <f t="shared" si="148"/>
        <v>0</v>
      </c>
      <c r="HA108">
        <v>0</v>
      </c>
      <c r="HB108">
        <v>0</v>
      </c>
      <c r="HC108">
        <f t="shared" si="149"/>
        <v>0</v>
      </c>
      <c r="HE108" t="s">
        <v>3</v>
      </c>
      <c r="HF108" t="s">
        <v>3</v>
      </c>
      <c r="HM108" t="s">
        <v>3</v>
      </c>
      <c r="HN108" t="s">
        <v>225</v>
      </c>
      <c r="HO108" t="s">
        <v>226</v>
      </c>
      <c r="HP108" t="s">
        <v>223</v>
      </c>
      <c r="HQ108" t="s">
        <v>223</v>
      </c>
      <c r="IK108">
        <v>0</v>
      </c>
    </row>
    <row r="109" spans="1:245" x14ac:dyDescent="0.2">
      <c r="A109">
        <v>17</v>
      </c>
      <c r="B109">
        <v>1</v>
      </c>
      <c r="E109" t="s">
        <v>231</v>
      </c>
      <c r="F109" t="s">
        <v>232</v>
      </c>
      <c r="G109" t="s">
        <v>233</v>
      </c>
      <c r="H109" t="s">
        <v>170</v>
      </c>
      <c r="I109">
        <v>8.4000000000000005E-2</v>
      </c>
      <c r="J109">
        <v>0</v>
      </c>
      <c r="K109">
        <v>8.4000000000000005E-2</v>
      </c>
      <c r="O109">
        <f t="shared" si="112"/>
        <v>5543.95</v>
      </c>
      <c r="P109">
        <f t="shared" si="113"/>
        <v>5543.95</v>
      </c>
      <c r="Q109">
        <f t="shared" si="114"/>
        <v>0</v>
      </c>
      <c r="R109">
        <f t="shared" si="115"/>
        <v>0</v>
      </c>
      <c r="S109">
        <f t="shared" si="116"/>
        <v>0</v>
      </c>
      <c r="T109">
        <f t="shared" si="117"/>
        <v>0</v>
      </c>
      <c r="U109">
        <f t="shared" si="118"/>
        <v>0</v>
      </c>
      <c r="V109">
        <f t="shared" si="119"/>
        <v>0</v>
      </c>
      <c r="W109">
        <f t="shared" si="120"/>
        <v>0</v>
      </c>
      <c r="X109">
        <f t="shared" si="121"/>
        <v>0</v>
      </c>
      <c r="Y109">
        <f t="shared" si="122"/>
        <v>0</v>
      </c>
      <c r="AA109">
        <v>94798619</v>
      </c>
      <c r="AB109">
        <f t="shared" si="123"/>
        <v>6232.24</v>
      </c>
      <c r="AC109">
        <f t="shared" si="124"/>
        <v>6232.24</v>
      </c>
      <c r="AD109">
        <f t="shared" si="125"/>
        <v>0</v>
      </c>
      <c r="AE109">
        <f t="shared" si="126"/>
        <v>0</v>
      </c>
      <c r="AF109">
        <f t="shared" si="127"/>
        <v>0</v>
      </c>
      <c r="AG109">
        <f t="shared" si="128"/>
        <v>0</v>
      </c>
      <c r="AH109">
        <f t="shared" si="129"/>
        <v>0</v>
      </c>
      <c r="AI109">
        <f t="shared" si="130"/>
        <v>0</v>
      </c>
      <c r="AJ109">
        <f t="shared" si="131"/>
        <v>0</v>
      </c>
      <c r="AK109">
        <v>6232.24</v>
      </c>
      <c r="AL109">
        <v>6232.24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1</v>
      </c>
      <c r="AW109">
        <v>1</v>
      </c>
      <c r="AZ109">
        <v>1</v>
      </c>
      <c r="BA109">
        <v>1</v>
      </c>
      <c r="BB109">
        <v>1</v>
      </c>
      <c r="BC109">
        <v>10.59</v>
      </c>
      <c r="BD109" t="s">
        <v>3</v>
      </c>
      <c r="BE109" t="s">
        <v>3</v>
      </c>
      <c r="BF109" t="s">
        <v>3</v>
      </c>
      <c r="BG109" t="s">
        <v>3</v>
      </c>
      <c r="BH109">
        <v>3</v>
      </c>
      <c r="BI109">
        <v>1</v>
      </c>
      <c r="BJ109" t="s">
        <v>234</v>
      </c>
      <c r="BM109">
        <v>500001</v>
      </c>
      <c r="BN109">
        <v>0</v>
      </c>
      <c r="BO109" t="s">
        <v>232</v>
      </c>
      <c r="BP109">
        <v>1</v>
      </c>
      <c r="BQ109">
        <v>8</v>
      </c>
      <c r="BR109">
        <v>0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3</v>
      </c>
      <c r="BZ109">
        <v>0</v>
      </c>
      <c r="CA109">
        <v>0</v>
      </c>
      <c r="CB109" t="s">
        <v>3</v>
      </c>
      <c r="CE109">
        <v>0</v>
      </c>
      <c r="CF109">
        <v>0</v>
      </c>
      <c r="CG109">
        <v>0</v>
      </c>
      <c r="CM109">
        <v>0</v>
      </c>
      <c r="CN109" t="s">
        <v>3</v>
      </c>
      <c r="CO109">
        <v>0</v>
      </c>
      <c r="CP109">
        <f t="shared" si="132"/>
        <v>5543.95</v>
      </c>
      <c r="CQ109">
        <f t="shared" si="133"/>
        <v>65999.421600000001</v>
      </c>
      <c r="CR109">
        <f t="shared" si="134"/>
        <v>0</v>
      </c>
      <c r="CS109">
        <f t="shared" si="135"/>
        <v>0</v>
      </c>
      <c r="CT109">
        <f t="shared" si="136"/>
        <v>0</v>
      </c>
      <c r="CU109">
        <f t="shared" si="137"/>
        <v>0</v>
      </c>
      <c r="CV109">
        <f t="shared" si="138"/>
        <v>0</v>
      </c>
      <c r="CW109">
        <f t="shared" si="139"/>
        <v>0</v>
      </c>
      <c r="CX109">
        <f t="shared" si="140"/>
        <v>0</v>
      </c>
      <c r="CY109">
        <f>0</f>
        <v>0</v>
      </c>
      <c r="CZ109">
        <f>0</f>
        <v>0</v>
      </c>
      <c r="DC109" t="s">
        <v>3</v>
      </c>
      <c r="DD109" t="s">
        <v>3</v>
      </c>
      <c r="DE109" t="s">
        <v>3</v>
      </c>
      <c r="DF109" t="s">
        <v>3</v>
      </c>
      <c r="DG109" t="s">
        <v>3</v>
      </c>
      <c r="DH109" t="s">
        <v>3</v>
      </c>
      <c r="DI109" t="s">
        <v>3</v>
      </c>
      <c r="DJ109" t="s">
        <v>3</v>
      </c>
      <c r="DK109" t="s">
        <v>3</v>
      </c>
      <c r="DL109" t="s">
        <v>3</v>
      </c>
      <c r="DM109" t="s">
        <v>3</v>
      </c>
      <c r="DN109">
        <v>0</v>
      </c>
      <c r="DO109">
        <v>0</v>
      </c>
      <c r="DP109">
        <v>1</v>
      </c>
      <c r="DQ109">
        <v>1</v>
      </c>
      <c r="DU109">
        <v>1009</v>
      </c>
      <c r="DV109" t="s">
        <v>170</v>
      </c>
      <c r="DW109" t="s">
        <v>170</v>
      </c>
      <c r="DX109">
        <v>1000</v>
      </c>
      <c r="DZ109" t="s">
        <v>3</v>
      </c>
      <c r="EA109" t="s">
        <v>3</v>
      </c>
      <c r="EB109" t="s">
        <v>3</v>
      </c>
      <c r="EC109" t="s">
        <v>3</v>
      </c>
      <c r="EE109">
        <v>92109332</v>
      </c>
      <c r="EF109">
        <v>8</v>
      </c>
      <c r="EG109" t="s">
        <v>154</v>
      </c>
      <c r="EH109">
        <v>0</v>
      </c>
      <c r="EI109" t="s">
        <v>3</v>
      </c>
      <c r="EJ109">
        <v>1</v>
      </c>
      <c r="EK109">
        <v>500001</v>
      </c>
      <c r="EL109" t="s">
        <v>155</v>
      </c>
      <c r="EM109" t="s">
        <v>156</v>
      </c>
      <c r="EO109" t="s">
        <v>3</v>
      </c>
      <c r="EQ109">
        <v>0</v>
      </c>
      <c r="ER109">
        <v>6232.24</v>
      </c>
      <c r="ES109">
        <v>6232.24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FQ109">
        <v>0</v>
      </c>
      <c r="FR109">
        <f t="shared" si="141"/>
        <v>0</v>
      </c>
      <c r="FS109">
        <v>0</v>
      </c>
      <c r="FX109">
        <v>0</v>
      </c>
      <c r="FY109">
        <v>0</v>
      </c>
      <c r="GA109" t="s">
        <v>3</v>
      </c>
      <c r="GD109">
        <v>1</v>
      </c>
      <c r="GF109">
        <v>-1184756589</v>
      </c>
      <c r="GG109">
        <v>2</v>
      </c>
      <c r="GH109">
        <v>1</v>
      </c>
      <c r="GI109">
        <v>2</v>
      </c>
      <c r="GJ109">
        <v>0</v>
      </c>
      <c r="GK109">
        <v>0</v>
      </c>
      <c r="GL109">
        <f t="shared" si="142"/>
        <v>0</v>
      </c>
      <c r="GM109">
        <f t="shared" si="143"/>
        <v>5543.95</v>
      </c>
      <c r="GN109">
        <f t="shared" si="144"/>
        <v>5543.95</v>
      </c>
      <c r="GO109">
        <f t="shared" si="145"/>
        <v>0</v>
      </c>
      <c r="GP109">
        <f t="shared" si="146"/>
        <v>0</v>
      </c>
      <c r="GR109">
        <v>0</v>
      </c>
      <c r="GS109">
        <v>3</v>
      </c>
      <c r="GT109">
        <v>0</v>
      </c>
      <c r="GU109" t="s">
        <v>3</v>
      </c>
      <c r="GV109">
        <f t="shared" si="147"/>
        <v>0</v>
      </c>
      <c r="GW109">
        <v>1</v>
      </c>
      <c r="GX109">
        <f t="shared" si="148"/>
        <v>0</v>
      </c>
      <c r="HA109">
        <v>0</v>
      </c>
      <c r="HB109">
        <v>0</v>
      </c>
      <c r="HC109">
        <f t="shared" si="149"/>
        <v>0</v>
      </c>
      <c r="HE109" t="s">
        <v>3</v>
      </c>
      <c r="HF109" t="s">
        <v>3</v>
      </c>
      <c r="HM109" t="s">
        <v>3</v>
      </c>
      <c r="HN109" t="s">
        <v>3</v>
      </c>
      <c r="HO109" t="s">
        <v>3</v>
      </c>
      <c r="HP109" t="s">
        <v>3</v>
      </c>
      <c r="HQ109" t="s">
        <v>3</v>
      </c>
      <c r="IK109">
        <v>0</v>
      </c>
    </row>
    <row r="110" spans="1:245" x14ac:dyDescent="0.2">
      <c r="A110">
        <v>17</v>
      </c>
      <c r="B110">
        <v>1</v>
      </c>
      <c r="E110" t="s">
        <v>235</v>
      </c>
      <c r="F110" t="s">
        <v>236</v>
      </c>
      <c r="G110" t="s">
        <v>237</v>
      </c>
      <c r="H110" t="s">
        <v>170</v>
      </c>
      <c r="I110">
        <v>6.1400000000000003E-2</v>
      </c>
      <c r="J110">
        <v>0</v>
      </c>
      <c r="K110">
        <v>6.1400000000000003E-2</v>
      </c>
      <c r="O110">
        <f t="shared" si="112"/>
        <v>4140.38</v>
      </c>
      <c r="P110">
        <f t="shared" si="113"/>
        <v>4140.38</v>
      </c>
      <c r="Q110">
        <f t="shared" si="114"/>
        <v>0</v>
      </c>
      <c r="R110">
        <f t="shared" si="115"/>
        <v>0</v>
      </c>
      <c r="S110">
        <f t="shared" si="116"/>
        <v>0</v>
      </c>
      <c r="T110">
        <f t="shared" si="117"/>
        <v>0</v>
      </c>
      <c r="U110">
        <f t="shared" si="118"/>
        <v>0</v>
      </c>
      <c r="V110">
        <f t="shared" si="119"/>
        <v>0</v>
      </c>
      <c r="W110">
        <f t="shared" si="120"/>
        <v>0</v>
      </c>
      <c r="X110">
        <f t="shared" si="121"/>
        <v>0</v>
      </c>
      <c r="Y110">
        <f t="shared" si="122"/>
        <v>0</v>
      </c>
      <c r="AA110">
        <v>94798619</v>
      </c>
      <c r="AB110">
        <f t="shared" si="123"/>
        <v>6232.24</v>
      </c>
      <c r="AC110">
        <f t="shared" si="124"/>
        <v>6232.24</v>
      </c>
      <c r="AD110">
        <f t="shared" si="125"/>
        <v>0</v>
      </c>
      <c r="AE110">
        <f t="shared" si="126"/>
        <v>0</v>
      </c>
      <c r="AF110">
        <f t="shared" si="127"/>
        <v>0</v>
      </c>
      <c r="AG110">
        <f t="shared" si="128"/>
        <v>0</v>
      </c>
      <c r="AH110">
        <f t="shared" si="129"/>
        <v>0</v>
      </c>
      <c r="AI110">
        <f t="shared" si="130"/>
        <v>0</v>
      </c>
      <c r="AJ110">
        <f t="shared" si="131"/>
        <v>0</v>
      </c>
      <c r="AK110">
        <v>6232.24</v>
      </c>
      <c r="AL110">
        <v>6232.24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1</v>
      </c>
      <c r="AW110">
        <v>1</v>
      </c>
      <c r="AZ110">
        <v>1</v>
      </c>
      <c r="BA110">
        <v>1</v>
      </c>
      <c r="BB110">
        <v>1</v>
      </c>
      <c r="BC110">
        <v>10.82</v>
      </c>
      <c r="BD110" t="s">
        <v>3</v>
      </c>
      <c r="BE110" t="s">
        <v>3</v>
      </c>
      <c r="BF110" t="s">
        <v>3</v>
      </c>
      <c r="BG110" t="s">
        <v>3</v>
      </c>
      <c r="BH110">
        <v>3</v>
      </c>
      <c r="BI110">
        <v>1</v>
      </c>
      <c r="BJ110" t="s">
        <v>238</v>
      </c>
      <c r="BM110">
        <v>500001</v>
      </c>
      <c r="BN110">
        <v>0</v>
      </c>
      <c r="BO110" t="s">
        <v>236</v>
      </c>
      <c r="BP110">
        <v>1</v>
      </c>
      <c r="BQ110">
        <v>8</v>
      </c>
      <c r="BR110">
        <v>0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 t="s">
        <v>3</v>
      </c>
      <c r="BZ110">
        <v>0</v>
      </c>
      <c r="CA110">
        <v>0</v>
      </c>
      <c r="CB110" t="s">
        <v>3</v>
      </c>
      <c r="CE110">
        <v>0</v>
      </c>
      <c r="CF110">
        <v>0</v>
      </c>
      <c r="CG110">
        <v>0</v>
      </c>
      <c r="CM110">
        <v>0</v>
      </c>
      <c r="CN110" t="s">
        <v>3</v>
      </c>
      <c r="CO110">
        <v>0</v>
      </c>
      <c r="CP110">
        <f t="shared" si="132"/>
        <v>4140.38</v>
      </c>
      <c r="CQ110">
        <f t="shared" si="133"/>
        <v>67432.836800000005</v>
      </c>
      <c r="CR110">
        <f t="shared" si="134"/>
        <v>0</v>
      </c>
      <c r="CS110">
        <f t="shared" si="135"/>
        <v>0</v>
      </c>
      <c r="CT110">
        <f t="shared" si="136"/>
        <v>0</v>
      </c>
      <c r="CU110">
        <f t="shared" si="137"/>
        <v>0</v>
      </c>
      <c r="CV110">
        <f t="shared" si="138"/>
        <v>0</v>
      </c>
      <c r="CW110">
        <f t="shared" si="139"/>
        <v>0</v>
      </c>
      <c r="CX110">
        <f t="shared" si="140"/>
        <v>0</v>
      </c>
      <c r="CY110">
        <f>0</f>
        <v>0</v>
      </c>
      <c r="CZ110">
        <f>0</f>
        <v>0</v>
      </c>
      <c r="DC110" t="s">
        <v>3</v>
      </c>
      <c r="DD110" t="s">
        <v>3</v>
      </c>
      <c r="DE110" t="s">
        <v>3</v>
      </c>
      <c r="DF110" t="s">
        <v>3</v>
      </c>
      <c r="DG110" t="s">
        <v>3</v>
      </c>
      <c r="DH110" t="s">
        <v>3</v>
      </c>
      <c r="DI110" t="s">
        <v>3</v>
      </c>
      <c r="DJ110" t="s">
        <v>3</v>
      </c>
      <c r="DK110" t="s">
        <v>3</v>
      </c>
      <c r="DL110" t="s">
        <v>3</v>
      </c>
      <c r="DM110" t="s">
        <v>3</v>
      </c>
      <c r="DN110">
        <v>0</v>
      </c>
      <c r="DO110">
        <v>0</v>
      </c>
      <c r="DP110">
        <v>1</v>
      </c>
      <c r="DQ110">
        <v>1</v>
      </c>
      <c r="DU110">
        <v>1009</v>
      </c>
      <c r="DV110" t="s">
        <v>170</v>
      </c>
      <c r="DW110" t="s">
        <v>170</v>
      </c>
      <c r="DX110">
        <v>1000</v>
      </c>
      <c r="DZ110" t="s">
        <v>3</v>
      </c>
      <c r="EA110" t="s">
        <v>3</v>
      </c>
      <c r="EB110" t="s">
        <v>3</v>
      </c>
      <c r="EC110" t="s">
        <v>3</v>
      </c>
      <c r="EE110">
        <v>92109332</v>
      </c>
      <c r="EF110">
        <v>8</v>
      </c>
      <c r="EG110" t="s">
        <v>154</v>
      </c>
      <c r="EH110">
        <v>0</v>
      </c>
      <c r="EI110" t="s">
        <v>3</v>
      </c>
      <c r="EJ110">
        <v>1</v>
      </c>
      <c r="EK110">
        <v>500001</v>
      </c>
      <c r="EL110" t="s">
        <v>155</v>
      </c>
      <c r="EM110" t="s">
        <v>156</v>
      </c>
      <c r="EO110" t="s">
        <v>3</v>
      </c>
      <c r="EQ110">
        <v>0</v>
      </c>
      <c r="ER110">
        <v>6232.24</v>
      </c>
      <c r="ES110">
        <v>6232.24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FQ110">
        <v>0</v>
      </c>
      <c r="FR110">
        <f t="shared" si="141"/>
        <v>0</v>
      </c>
      <c r="FS110">
        <v>0</v>
      </c>
      <c r="FX110">
        <v>0</v>
      </c>
      <c r="FY110">
        <v>0</v>
      </c>
      <c r="GA110" t="s">
        <v>3</v>
      </c>
      <c r="GD110">
        <v>1</v>
      </c>
      <c r="GF110">
        <v>-288807419</v>
      </c>
      <c r="GG110">
        <v>2</v>
      </c>
      <c r="GH110">
        <v>1</v>
      </c>
      <c r="GI110">
        <v>2</v>
      </c>
      <c r="GJ110">
        <v>0</v>
      </c>
      <c r="GK110">
        <v>0</v>
      </c>
      <c r="GL110">
        <f t="shared" si="142"/>
        <v>0</v>
      </c>
      <c r="GM110">
        <f t="shared" si="143"/>
        <v>4140.38</v>
      </c>
      <c r="GN110">
        <f t="shared" si="144"/>
        <v>4140.38</v>
      </c>
      <c r="GO110">
        <f t="shared" si="145"/>
        <v>0</v>
      </c>
      <c r="GP110">
        <f t="shared" si="146"/>
        <v>0</v>
      </c>
      <c r="GR110">
        <v>0</v>
      </c>
      <c r="GS110">
        <v>3</v>
      </c>
      <c r="GT110">
        <v>0</v>
      </c>
      <c r="GU110" t="s">
        <v>3</v>
      </c>
      <c r="GV110">
        <f t="shared" si="147"/>
        <v>0</v>
      </c>
      <c r="GW110">
        <v>1</v>
      </c>
      <c r="GX110">
        <f t="shared" si="148"/>
        <v>0</v>
      </c>
      <c r="HA110">
        <v>0</v>
      </c>
      <c r="HB110">
        <v>0</v>
      </c>
      <c r="HC110">
        <f t="shared" si="149"/>
        <v>0</v>
      </c>
      <c r="HE110" t="s">
        <v>3</v>
      </c>
      <c r="HF110" t="s">
        <v>3</v>
      </c>
      <c r="HM110" t="s">
        <v>3</v>
      </c>
      <c r="HN110" t="s">
        <v>3</v>
      </c>
      <c r="HO110" t="s">
        <v>3</v>
      </c>
      <c r="HP110" t="s">
        <v>3</v>
      </c>
      <c r="HQ110" t="s">
        <v>3</v>
      </c>
      <c r="IK110">
        <v>0</v>
      </c>
    </row>
    <row r="111" spans="1:245" x14ac:dyDescent="0.2">
      <c r="A111">
        <v>17</v>
      </c>
      <c r="B111">
        <v>1</v>
      </c>
      <c r="E111" t="s">
        <v>239</v>
      </c>
      <c r="F111" t="s">
        <v>240</v>
      </c>
      <c r="G111" t="s">
        <v>241</v>
      </c>
      <c r="H111" t="s">
        <v>170</v>
      </c>
      <c r="I111">
        <v>3.7600000000000001E-2</v>
      </c>
      <c r="J111">
        <v>0</v>
      </c>
      <c r="K111">
        <v>3.7600000000000001E-2</v>
      </c>
      <c r="O111">
        <f t="shared" si="112"/>
        <v>2564.62</v>
      </c>
      <c r="P111">
        <f t="shared" si="113"/>
        <v>2564.62</v>
      </c>
      <c r="Q111">
        <f t="shared" si="114"/>
        <v>0</v>
      </c>
      <c r="R111">
        <f t="shared" si="115"/>
        <v>0</v>
      </c>
      <c r="S111">
        <f t="shared" si="116"/>
        <v>0</v>
      </c>
      <c r="T111">
        <f t="shared" si="117"/>
        <v>0</v>
      </c>
      <c r="U111">
        <f t="shared" si="118"/>
        <v>0</v>
      </c>
      <c r="V111">
        <f t="shared" si="119"/>
        <v>0</v>
      </c>
      <c r="W111">
        <f t="shared" si="120"/>
        <v>0</v>
      </c>
      <c r="X111">
        <f t="shared" si="121"/>
        <v>0</v>
      </c>
      <c r="Y111">
        <f t="shared" si="122"/>
        <v>0</v>
      </c>
      <c r="AA111">
        <v>94798619</v>
      </c>
      <c r="AB111">
        <f t="shared" si="123"/>
        <v>4872</v>
      </c>
      <c r="AC111">
        <f t="shared" si="124"/>
        <v>4872</v>
      </c>
      <c r="AD111">
        <f t="shared" si="125"/>
        <v>0</v>
      </c>
      <c r="AE111">
        <f t="shared" si="126"/>
        <v>0</v>
      </c>
      <c r="AF111">
        <f t="shared" si="127"/>
        <v>0</v>
      </c>
      <c r="AG111">
        <f t="shared" si="128"/>
        <v>0</v>
      </c>
      <c r="AH111">
        <f t="shared" si="129"/>
        <v>0</v>
      </c>
      <c r="AI111">
        <f t="shared" si="130"/>
        <v>0</v>
      </c>
      <c r="AJ111">
        <f t="shared" si="131"/>
        <v>0</v>
      </c>
      <c r="AK111">
        <v>4872</v>
      </c>
      <c r="AL111">
        <v>4872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</v>
      </c>
      <c r="AW111">
        <v>1</v>
      </c>
      <c r="AZ111">
        <v>1</v>
      </c>
      <c r="BA111">
        <v>1</v>
      </c>
      <c r="BB111">
        <v>1</v>
      </c>
      <c r="BC111">
        <v>14</v>
      </c>
      <c r="BD111" t="s">
        <v>3</v>
      </c>
      <c r="BE111" t="s">
        <v>3</v>
      </c>
      <c r="BF111" t="s">
        <v>3</v>
      </c>
      <c r="BG111" t="s">
        <v>3</v>
      </c>
      <c r="BH111">
        <v>3</v>
      </c>
      <c r="BI111">
        <v>1</v>
      </c>
      <c r="BJ111" t="s">
        <v>242</v>
      </c>
      <c r="BM111">
        <v>500001</v>
      </c>
      <c r="BN111">
        <v>0</v>
      </c>
      <c r="BO111" t="s">
        <v>240</v>
      </c>
      <c r="BP111">
        <v>1</v>
      </c>
      <c r="BQ111">
        <v>8</v>
      </c>
      <c r="BR111">
        <v>0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 t="s">
        <v>3</v>
      </c>
      <c r="BZ111">
        <v>0</v>
      </c>
      <c r="CA111">
        <v>0</v>
      </c>
      <c r="CB111" t="s">
        <v>3</v>
      </c>
      <c r="CE111">
        <v>0</v>
      </c>
      <c r="CF111">
        <v>0</v>
      </c>
      <c r="CG111">
        <v>0</v>
      </c>
      <c r="CM111">
        <v>0</v>
      </c>
      <c r="CN111" t="s">
        <v>3</v>
      </c>
      <c r="CO111">
        <v>0</v>
      </c>
      <c r="CP111">
        <f t="shared" si="132"/>
        <v>2564.62</v>
      </c>
      <c r="CQ111">
        <f t="shared" si="133"/>
        <v>68208</v>
      </c>
      <c r="CR111">
        <f t="shared" si="134"/>
        <v>0</v>
      </c>
      <c r="CS111">
        <f t="shared" si="135"/>
        <v>0</v>
      </c>
      <c r="CT111">
        <f t="shared" si="136"/>
        <v>0</v>
      </c>
      <c r="CU111">
        <f t="shared" si="137"/>
        <v>0</v>
      </c>
      <c r="CV111">
        <f t="shared" si="138"/>
        <v>0</v>
      </c>
      <c r="CW111">
        <f t="shared" si="139"/>
        <v>0</v>
      </c>
      <c r="CX111">
        <f t="shared" si="140"/>
        <v>0</v>
      </c>
      <c r="CY111">
        <f>0</f>
        <v>0</v>
      </c>
      <c r="CZ111">
        <f>0</f>
        <v>0</v>
      </c>
      <c r="DC111" t="s">
        <v>3</v>
      </c>
      <c r="DD111" t="s">
        <v>3</v>
      </c>
      <c r="DE111" t="s">
        <v>3</v>
      </c>
      <c r="DF111" t="s">
        <v>3</v>
      </c>
      <c r="DG111" t="s">
        <v>3</v>
      </c>
      <c r="DH111" t="s">
        <v>3</v>
      </c>
      <c r="DI111" t="s">
        <v>3</v>
      </c>
      <c r="DJ111" t="s">
        <v>3</v>
      </c>
      <c r="DK111" t="s">
        <v>3</v>
      </c>
      <c r="DL111" t="s">
        <v>3</v>
      </c>
      <c r="DM111" t="s">
        <v>3</v>
      </c>
      <c r="DN111">
        <v>0</v>
      </c>
      <c r="DO111">
        <v>0</v>
      </c>
      <c r="DP111">
        <v>1</v>
      </c>
      <c r="DQ111">
        <v>1</v>
      </c>
      <c r="DU111">
        <v>1009</v>
      </c>
      <c r="DV111" t="s">
        <v>170</v>
      </c>
      <c r="DW111" t="s">
        <v>170</v>
      </c>
      <c r="DX111">
        <v>1000</v>
      </c>
      <c r="DZ111" t="s">
        <v>3</v>
      </c>
      <c r="EA111" t="s">
        <v>3</v>
      </c>
      <c r="EB111" t="s">
        <v>3</v>
      </c>
      <c r="EC111" t="s">
        <v>3</v>
      </c>
      <c r="EE111">
        <v>92109332</v>
      </c>
      <c r="EF111">
        <v>8</v>
      </c>
      <c r="EG111" t="s">
        <v>154</v>
      </c>
      <c r="EH111">
        <v>0</v>
      </c>
      <c r="EI111" t="s">
        <v>3</v>
      </c>
      <c r="EJ111">
        <v>1</v>
      </c>
      <c r="EK111">
        <v>500001</v>
      </c>
      <c r="EL111" t="s">
        <v>155</v>
      </c>
      <c r="EM111" t="s">
        <v>156</v>
      </c>
      <c r="EO111" t="s">
        <v>3</v>
      </c>
      <c r="EQ111">
        <v>0</v>
      </c>
      <c r="ER111">
        <v>4872</v>
      </c>
      <c r="ES111">
        <v>4872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FQ111">
        <v>0</v>
      </c>
      <c r="FR111">
        <f t="shared" si="141"/>
        <v>0</v>
      </c>
      <c r="FS111">
        <v>0</v>
      </c>
      <c r="FX111">
        <v>0</v>
      </c>
      <c r="FY111">
        <v>0</v>
      </c>
      <c r="GA111" t="s">
        <v>3</v>
      </c>
      <c r="GD111">
        <v>1</v>
      </c>
      <c r="GF111">
        <v>-219859504</v>
      </c>
      <c r="GG111">
        <v>2</v>
      </c>
      <c r="GH111">
        <v>1</v>
      </c>
      <c r="GI111">
        <v>2</v>
      </c>
      <c r="GJ111">
        <v>0</v>
      </c>
      <c r="GK111">
        <v>0</v>
      </c>
      <c r="GL111">
        <f t="shared" si="142"/>
        <v>0</v>
      </c>
      <c r="GM111">
        <f t="shared" si="143"/>
        <v>2564.62</v>
      </c>
      <c r="GN111">
        <f t="shared" si="144"/>
        <v>2564.62</v>
      </c>
      <c r="GO111">
        <f t="shared" si="145"/>
        <v>0</v>
      </c>
      <c r="GP111">
        <f t="shared" si="146"/>
        <v>0</v>
      </c>
      <c r="GR111">
        <v>0</v>
      </c>
      <c r="GS111">
        <v>3</v>
      </c>
      <c r="GT111">
        <v>0</v>
      </c>
      <c r="GU111" t="s">
        <v>3</v>
      </c>
      <c r="GV111">
        <f t="shared" si="147"/>
        <v>0</v>
      </c>
      <c r="GW111">
        <v>1</v>
      </c>
      <c r="GX111">
        <f t="shared" si="148"/>
        <v>0</v>
      </c>
      <c r="HA111">
        <v>0</v>
      </c>
      <c r="HB111">
        <v>0</v>
      </c>
      <c r="HC111">
        <f t="shared" si="149"/>
        <v>0</v>
      </c>
      <c r="HE111" t="s">
        <v>3</v>
      </c>
      <c r="HF111" t="s">
        <v>3</v>
      </c>
      <c r="HM111" t="s">
        <v>3</v>
      </c>
      <c r="HN111" t="s">
        <v>3</v>
      </c>
      <c r="HO111" t="s">
        <v>3</v>
      </c>
      <c r="HP111" t="s">
        <v>3</v>
      </c>
      <c r="HQ111" t="s">
        <v>3</v>
      </c>
      <c r="IK111">
        <v>0</v>
      </c>
    </row>
    <row r="112" spans="1:245" x14ac:dyDescent="0.2">
      <c r="A112">
        <v>17</v>
      </c>
      <c r="B112">
        <v>1</v>
      </c>
      <c r="E112" t="s">
        <v>243</v>
      </c>
      <c r="F112" t="s">
        <v>244</v>
      </c>
      <c r="G112" t="s">
        <v>245</v>
      </c>
      <c r="H112" t="s">
        <v>170</v>
      </c>
      <c r="I112">
        <v>0.05</v>
      </c>
      <c r="J112">
        <v>0</v>
      </c>
      <c r="K112">
        <v>0.05</v>
      </c>
      <c r="O112">
        <f t="shared" si="112"/>
        <v>6861.58</v>
      </c>
      <c r="P112">
        <f t="shared" si="113"/>
        <v>6861.58</v>
      </c>
      <c r="Q112">
        <f t="shared" si="114"/>
        <v>0</v>
      </c>
      <c r="R112">
        <f t="shared" si="115"/>
        <v>0</v>
      </c>
      <c r="S112">
        <f t="shared" si="116"/>
        <v>0</v>
      </c>
      <c r="T112">
        <f t="shared" si="117"/>
        <v>0</v>
      </c>
      <c r="U112">
        <f t="shared" si="118"/>
        <v>0</v>
      </c>
      <c r="V112">
        <f t="shared" si="119"/>
        <v>0</v>
      </c>
      <c r="W112">
        <f t="shared" si="120"/>
        <v>0</v>
      </c>
      <c r="X112">
        <f t="shared" si="121"/>
        <v>0</v>
      </c>
      <c r="Y112">
        <f t="shared" si="122"/>
        <v>0</v>
      </c>
      <c r="AA112">
        <v>94798619</v>
      </c>
      <c r="AB112">
        <f t="shared" si="123"/>
        <v>21476</v>
      </c>
      <c r="AC112">
        <f t="shared" si="124"/>
        <v>21476</v>
      </c>
      <c r="AD112">
        <f t="shared" si="125"/>
        <v>0</v>
      </c>
      <c r="AE112">
        <f t="shared" si="126"/>
        <v>0</v>
      </c>
      <c r="AF112">
        <f t="shared" si="127"/>
        <v>0</v>
      </c>
      <c r="AG112">
        <f t="shared" si="128"/>
        <v>0</v>
      </c>
      <c r="AH112">
        <f t="shared" si="129"/>
        <v>0</v>
      </c>
      <c r="AI112">
        <f t="shared" si="130"/>
        <v>0</v>
      </c>
      <c r="AJ112">
        <f t="shared" si="131"/>
        <v>0</v>
      </c>
      <c r="AK112">
        <v>21476</v>
      </c>
      <c r="AL112">
        <v>21476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1</v>
      </c>
      <c r="AW112">
        <v>1</v>
      </c>
      <c r="AZ112">
        <v>1</v>
      </c>
      <c r="BA112">
        <v>1</v>
      </c>
      <c r="BB112">
        <v>1</v>
      </c>
      <c r="BC112">
        <v>6.39</v>
      </c>
      <c r="BD112" t="s">
        <v>3</v>
      </c>
      <c r="BE112" t="s">
        <v>3</v>
      </c>
      <c r="BF112" t="s">
        <v>3</v>
      </c>
      <c r="BG112" t="s">
        <v>3</v>
      </c>
      <c r="BH112">
        <v>3</v>
      </c>
      <c r="BI112">
        <v>1</v>
      </c>
      <c r="BJ112" t="s">
        <v>246</v>
      </c>
      <c r="BM112">
        <v>500001</v>
      </c>
      <c r="BN112">
        <v>0</v>
      </c>
      <c r="BO112" t="s">
        <v>244</v>
      </c>
      <c r="BP112">
        <v>1</v>
      </c>
      <c r="BQ112">
        <v>8</v>
      </c>
      <c r="BR112">
        <v>0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 t="s">
        <v>3</v>
      </c>
      <c r="BZ112">
        <v>0</v>
      </c>
      <c r="CA112">
        <v>0</v>
      </c>
      <c r="CB112" t="s">
        <v>3</v>
      </c>
      <c r="CE112">
        <v>0</v>
      </c>
      <c r="CF112">
        <v>0</v>
      </c>
      <c r="CG112">
        <v>0</v>
      </c>
      <c r="CM112">
        <v>0</v>
      </c>
      <c r="CN112" t="s">
        <v>3</v>
      </c>
      <c r="CO112">
        <v>0</v>
      </c>
      <c r="CP112">
        <f t="shared" si="132"/>
        <v>6861.58</v>
      </c>
      <c r="CQ112">
        <f t="shared" si="133"/>
        <v>137231.63999999998</v>
      </c>
      <c r="CR112">
        <f t="shared" si="134"/>
        <v>0</v>
      </c>
      <c r="CS112">
        <f t="shared" si="135"/>
        <v>0</v>
      </c>
      <c r="CT112">
        <f t="shared" si="136"/>
        <v>0</v>
      </c>
      <c r="CU112">
        <f t="shared" si="137"/>
        <v>0</v>
      </c>
      <c r="CV112">
        <f t="shared" si="138"/>
        <v>0</v>
      </c>
      <c r="CW112">
        <f t="shared" si="139"/>
        <v>0</v>
      </c>
      <c r="CX112">
        <f t="shared" si="140"/>
        <v>0</v>
      </c>
      <c r="CY112">
        <f>0</f>
        <v>0</v>
      </c>
      <c r="CZ112">
        <f>0</f>
        <v>0</v>
      </c>
      <c r="DC112" t="s">
        <v>3</v>
      </c>
      <c r="DD112" t="s">
        <v>3</v>
      </c>
      <c r="DE112" t="s">
        <v>3</v>
      </c>
      <c r="DF112" t="s">
        <v>3</v>
      </c>
      <c r="DG112" t="s">
        <v>3</v>
      </c>
      <c r="DH112" t="s">
        <v>3</v>
      </c>
      <c r="DI112" t="s">
        <v>3</v>
      </c>
      <c r="DJ112" t="s">
        <v>3</v>
      </c>
      <c r="DK112" t="s">
        <v>3</v>
      </c>
      <c r="DL112" t="s">
        <v>3</v>
      </c>
      <c r="DM112" t="s">
        <v>3</v>
      </c>
      <c r="DN112">
        <v>0</v>
      </c>
      <c r="DO112">
        <v>0</v>
      </c>
      <c r="DP112">
        <v>1</v>
      </c>
      <c r="DQ112">
        <v>1</v>
      </c>
      <c r="DU112">
        <v>1009</v>
      </c>
      <c r="DV112" t="s">
        <v>170</v>
      </c>
      <c r="DW112" t="s">
        <v>170</v>
      </c>
      <c r="DX112">
        <v>1000</v>
      </c>
      <c r="DZ112" t="s">
        <v>3</v>
      </c>
      <c r="EA112" t="s">
        <v>3</v>
      </c>
      <c r="EB112" t="s">
        <v>3</v>
      </c>
      <c r="EC112" t="s">
        <v>3</v>
      </c>
      <c r="EE112">
        <v>92109332</v>
      </c>
      <c r="EF112">
        <v>8</v>
      </c>
      <c r="EG112" t="s">
        <v>154</v>
      </c>
      <c r="EH112">
        <v>0</v>
      </c>
      <c r="EI112" t="s">
        <v>3</v>
      </c>
      <c r="EJ112">
        <v>1</v>
      </c>
      <c r="EK112">
        <v>500001</v>
      </c>
      <c r="EL112" t="s">
        <v>155</v>
      </c>
      <c r="EM112" t="s">
        <v>156</v>
      </c>
      <c r="EO112" t="s">
        <v>3</v>
      </c>
      <c r="EQ112">
        <v>0</v>
      </c>
      <c r="ER112">
        <v>21476</v>
      </c>
      <c r="ES112">
        <v>21476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FQ112">
        <v>0</v>
      </c>
      <c r="FR112">
        <f t="shared" si="141"/>
        <v>0</v>
      </c>
      <c r="FS112">
        <v>0</v>
      </c>
      <c r="FX112">
        <v>0</v>
      </c>
      <c r="FY112">
        <v>0</v>
      </c>
      <c r="GA112" t="s">
        <v>3</v>
      </c>
      <c r="GD112">
        <v>1</v>
      </c>
      <c r="GF112">
        <v>1567809981</v>
      </c>
      <c r="GG112">
        <v>2</v>
      </c>
      <c r="GH112">
        <v>1</v>
      </c>
      <c r="GI112">
        <v>2</v>
      </c>
      <c r="GJ112">
        <v>0</v>
      </c>
      <c r="GK112">
        <v>0</v>
      </c>
      <c r="GL112">
        <f t="shared" si="142"/>
        <v>0</v>
      </c>
      <c r="GM112">
        <f t="shared" si="143"/>
        <v>6861.58</v>
      </c>
      <c r="GN112">
        <f t="shared" si="144"/>
        <v>6861.58</v>
      </c>
      <c r="GO112">
        <f t="shared" si="145"/>
        <v>0</v>
      </c>
      <c r="GP112">
        <f t="shared" si="146"/>
        <v>0</v>
      </c>
      <c r="GR112">
        <v>0</v>
      </c>
      <c r="GS112">
        <v>3</v>
      </c>
      <c r="GT112">
        <v>0</v>
      </c>
      <c r="GU112" t="s">
        <v>3</v>
      </c>
      <c r="GV112">
        <f t="shared" si="147"/>
        <v>0</v>
      </c>
      <c r="GW112">
        <v>1</v>
      </c>
      <c r="GX112">
        <f t="shared" si="148"/>
        <v>0</v>
      </c>
      <c r="HA112">
        <v>0</v>
      </c>
      <c r="HB112">
        <v>0</v>
      </c>
      <c r="HC112">
        <f t="shared" si="149"/>
        <v>0</v>
      </c>
      <c r="HE112" t="s">
        <v>3</v>
      </c>
      <c r="HF112" t="s">
        <v>3</v>
      </c>
      <c r="HM112" t="s">
        <v>3</v>
      </c>
      <c r="HN112" t="s">
        <v>3</v>
      </c>
      <c r="HO112" t="s">
        <v>3</v>
      </c>
      <c r="HP112" t="s">
        <v>3</v>
      </c>
      <c r="HQ112" t="s">
        <v>3</v>
      </c>
      <c r="IK112">
        <v>0</v>
      </c>
    </row>
    <row r="113" spans="1:245" x14ac:dyDescent="0.2">
      <c r="A113">
        <v>17</v>
      </c>
      <c r="B113">
        <v>1</v>
      </c>
      <c r="C113">
        <f>ROW(SmtRes!A131)</f>
        <v>131</v>
      </c>
      <c r="D113">
        <f>ROW(EtalonRes!A131)</f>
        <v>131</v>
      </c>
      <c r="E113" t="s">
        <v>247</v>
      </c>
      <c r="F113" t="s">
        <v>248</v>
      </c>
      <c r="G113" t="s">
        <v>249</v>
      </c>
      <c r="H113" t="s">
        <v>220</v>
      </c>
      <c r="I113">
        <v>0.23300000000000001</v>
      </c>
      <c r="J113">
        <v>0</v>
      </c>
      <c r="K113">
        <v>0.23300000000000001</v>
      </c>
      <c r="O113">
        <f t="shared" si="112"/>
        <v>11077.32</v>
      </c>
      <c r="P113">
        <f t="shared" si="113"/>
        <v>1507.63</v>
      </c>
      <c r="Q113">
        <f t="shared" si="114"/>
        <v>5987.67</v>
      </c>
      <c r="R113">
        <f t="shared" si="115"/>
        <v>895.92</v>
      </c>
      <c r="S113">
        <f t="shared" si="116"/>
        <v>3582.02</v>
      </c>
      <c r="T113">
        <f t="shared" si="117"/>
        <v>0</v>
      </c>
      <c r="U113">
        <f t="shared" si="118"/>
        <v>10.804209999999999</v>
      </c>
      <c r="V113">
        <f t="shared" si="119"/>
        <v>2.02244</v>
      </c>
      <c r="W113">
        <f t="shared" si="120"/>
        <v>0</v>
      </c>
      <c r="X113">
        <f t="shared" si="121"/>
        <v>4164.4799999999996</v>
      </c>
      <c r="Y113">
        <f t="shared" si="122"/>
        <v>2776.32</v>
      </c>
      <c r="AA113">
        <v>94798619</v>
      </c>
      <c r="AB113">
        <f t="shared" si="123"/>
        <v>3525.36</v>
      </c>
      <c r="AC113">
        <f t="shared" si="124"/>
        <v>477.88</v>
      </c>
      <c r="AD113">
        <f t="shared" si="125"/>
        <v>2611.6</v>
      </c>
      <c r="AE113">
        <f t="shared" si="126"/>
        <v>109.02</v>
      </c>
      <c r="AF113">
        <f t="shared" si="127"/>
        <v>435.88</v>
      </c>
      <c r="AG113">
        <f t="shared" si="128"/>
        <v>0</v>
      </c>
      <c r="AH113">
        <f t="shared" si="129"/>
        <v>46.37</v>
      </c>
      <c r="AI113">
        <f t="shared" si="130"/>
        <v>8.68</v>
      </c>
      <c r="AJ113">
        <f t="shared" si="131"/>
        <v>0</v>
      </c>
      <c r="AK113">
        <v>3525.36</v>
      </c>
      <c r="AL113">
        <v>477.88</v>
      </c>
      <c r="AM113">
        <v>2611.6</v>
      </c>
      <c r="AN113">
        <v>109.02</v>
      </c>
      <c r="AO113">
        <v>435.88</v>
      </c>
      <c r="AP113">
        <v>0</v>
      </c>
      <c r="AQ113">
        <v>46.37</v>
      </c>
      <c r="AR113">
        <v>8.68</v>
      </c>
      <c r="AS113">
        <v>0</v>
      </c>
      <c r="AT113">
        <v>93</v>
      </c>
      <c r="AU113">
        <v>62</v>
      </c>
      <c r="AV113">
        <v>1</v>
      </c>
      <c r="AW113">
        <v>1</v>
      </c>
      <c r="AZ113">
        <v>1</v>
      </c>
      <c r="BA113">
        <v>35.270000000000003</v>
      </c>
      <c r="BB113">
        <v>9.84</v>
      </c>
      <c r="BC113">
        <v>13.54</v>
      </c>
      <c r="BD113" t="s">
        <v>3</v>
      </c>
      <c r="BE113" t="s">
        <v>3</v>
      </c>
      <c r="BF113" t="s">
        <v>3</v>
      </c>
      <c r="BG113" t="s">
        <v>3</v>
      </c>
      <c r="BH113">
        <v>0</v>
      </c>
      <c r="BI113">
        <v>1</v>
      </c>
      <c r="BJ113" t="s">
        <v>250</v>
      </c>
      <c r="BM113">
        <v>9001</v>
      </c>
      <c r="BN113">
        <v>0</v>
      </c>
      <c r="BO113" t="s">
        <v>248</v>
      </c>
      <c r="BP113">
        <v>1</v>
      </c>
      <c r="BQ113">
        <v>2</v>
      </c>
      <c r="BR113">
        <v>0</v>
      </c>
      <c r="BS113">
        <v>35.270000000000003</v>
      </c>
      <c r="BT113">
        <v>1</v>
      </c>
      <c r="BU113">
        <v>1</v>
      </c>
      <c r="BV113">
        <v>1</v>
      </c>
      <c r="BW113">
        <v>1</v>
      </c>
      <c r="BX113">
        <v>1</v>
      </c>
      <c r="BY113" t="s">
        <v>3</v>
      </c>
      <c r="BZ113">
        <v>93</v>
      </c>
      <c r="CA113">
        <v>62</v>
      </c>
      <c r="CB113" t="s">
        <v>3</v>
      </c>
      <c r="CE113">
        <v>0</v>
      </c>
      <c r="CF113">
        <v>0</v>
      </c>
      <c r="CG113">
        <v>0</v>
      </c>
      <c r="CM113">
        <v>0</v>
      </c>
      <c r="CN113" t="s">
        <v>3</v>
      </c>
      <c r="CO113">
        <v>0</v>
      </c>
      <c r="CP113">
        <f t="shared" si="132"/>
        <v>11077.32</v>
      </c>
      <c r="CQ113">
        <f t="shared" si="133"/>
        <v>6470.4951999999994</v>
      </c>
      <c r="CR113">
        <f t="shared" si="134"/>
        <v>25698.144</v>
      </c>
      <c r="CS113">
        <f t="shared" si="135"/>
        <v>3845.1354000000001</v>
      </c>
      <c r="CT113">
        <f t="shared" si="136"/>
        <v>15373.4876</v>
      </c>
      <c r="CU113">
        <f t="shared" si="137"/>
        <v>0</v>
      </c>
      <c r="CV113">
        <f t="shared" si="138"/>
        <v>46.37</v>
      </c>
      <c r="CW113">
        <f t="shared" si="139"/>
        <v>8.68</v>
      </c>
      <c r="CX113">
        <f t="shared" si="140"/>
        <v>0</v>
      </c>
      <c r="CY113">
        <f>(((S113+R113)*AT113)/100)</f>
        <v>4164.4841999999999</v>
      </c>
      <c r="CZ113">
        <f>(((S113+R113)*AU113)/100)</f>
        <v>2776.3227999999999</v>
      </c>
      <c r="DC113" t="s">
        <v>3</v>
      </c>
      <c r="DD113" t="s">
        <v>3</v>
      </c>
      <c r="DE113" t="s">
        <v>3</v>
      </c>
      <c r="DF113" t="s">
        <v>3</v>
      </c>
      <c r="DG113" t="s">
        <v>3</v>
      </c>
      <c r="DH113" t="s">
        <v>3</v>
      </c>
      <c r="DI113" t="s">
        <v>3</v>
      </c>
      <c r="DJ113" t="s">
        <v>3</v>
      </c>
      <c r="DK113" t="s">
        <v>3</v>
      </c>
      <c r="DL113" t="s">
        <v>3</v>
      </c>
      <c r="DM113" t="s">
        <v>3</v>
      </c>
      <c r="DN113">
        <v>0</v>
      </c>
      <c r="DO113">
        <v>0</v>
      </c>
      <c r="DP113">
        <v>1</v>
      </c>
      <c r="DQ113">
        <v>1</v>
      </c>
      <c r="DU113">
        <v>1013</v>
      </c>
      <c r="DV113" t="s">
        <v>220</v>
      </c>
      <c r="DW113" t="s">
        <v>220</v>
      </c>
      <c r="DX113">
        <v>1</v>
      </c>
      <c r="DZ113" t="s">
        <v>3</v>
      </c>
      <c r="EA113" t="s">
        <v>3</v>
      </c>
      <c r="EB113" t="s">
        <v>3</v>
      </c>
      <c r="EC113" t="s">
        <v>3</v>
      </c>
      <c r="EE113">
        <v>92109398</v>
      </c>
      <c r="EF113">
        <v>2</v>
      </c>
      <c r="EG113" t="s">
        <v>21</v>
      </c>
      <c r="EH113">
        <v>9</v>
      </c>
      <c r="EI113" t="s">
        <v>40</v>
      </c>
      <c r="EJ113">
        <v>1</v>
      </c>
      <c r="EK113">
        <v>9001</v>
      </c>
      <c r="EL113" t="s">
        <v>40</v>
      </c>
      <c r="EM113" t="s">
        <v>41</v>
      </c>
      <c r="EO113" t="s">
        <v>3</v>
      </c>
      <c r="EQ113">
        <v>0</v>
      </c>
      <c r="ER113">
        <v>3525.36</v>
      </c>
      <c r="ES113">
        <v>477.88</v>
      </c>
      <c r="ET113">
        <v>2611.6</v>
      </c>
      <c r="EU113">
        <v>109.02</v>
      </c>
      <c r="EV113">
        <v>435.88</v>
      </c>
      <c r="EW113">
        <v>46.37</v>
      </c>
      <c r="EX113">
        <v>8.68</v>
      </c>
      <c r="EY113">
        <v>0</v>
      </c>
      <c r="FQ113">
        <v>0</v>
      </c>
      <c r="FR113">
        <f t="shared" si="141"/>
        <v>0</v>
      </c>
      <c r="FS113">
        <v>0</v>
      </c>
      <c r="FX113">
        <v>93</v>
      </c>
      <c r="FY113">
        <v>62</v>
      </c>
      <c r="GA113" t="s">
        <v>3</v>
      </c>
      <c r="GD113">
        <v>1</v>
      </c>
      <c r="GF113">
        <v>-1394374698</v>
      </c>
      <c r="GG113">
        <v>2</v>
      </c>
      <c r="GH113">
        <v>1</v>
      </c>
      <c r="GI113">
        <v>2</v>
      </c>
      <c r="GJ113">
        <v>0</v>
      </c>
      <c r="GK113">
        <v>0</v>
      </c>
      <c r="GL113">
        <f t="shared" si="142"/>
        <v>0</v>
      </c>
      <c r="GM113">
        <f t="shared" si="143"/>
        <v>18018.12</v>
      </c>
      <c r="GN113">
        <f t="shared" si="144"/>
        <v>18018.12</v>
      </c>
      <c r="GO113">
        <f t="shared" si="145"/>
        <v>0</v>
      </c>
      <c r="GP113">
        <f t="shared" si="146"/>
        <v>0</v>
      </c>
      <c r="GR113">
        <v>0</v>
      </c>
      <c r="GS113">
        <v>3</v>
      </c>
      <c r="GT113">
        <v>0</v>
      </c>
      <c r="GU113" t="s">
        <v>3</v>
      </c>
      <c r="GV113">
        <f t="shared" si="147"/>
        <v>0</v>
      </c>
      <c r="GW113">
        <v>1</v>
      </c>
      <c r="GX113">
        <f t="shared" si="148"/>
        <v>0</v>
      </c>
      <c r="HA113">
        <v>0</v>
      </c>
      <c r="HB113">
        <v>0</v>
      </c>
      <c r="HC113">
        <f t="shared" si="149"/>
        <v>0</v>
      </c>
      <c r="HE113" t="s">
        <v>3</v>
      </c>
      <c r="HF113" t="s">
        <v>3</v>
      </c>
      <c r="HM113" t="s">
        <v>3</v>
      </c>
      <c r="HN113" t="s">
        <v>42</v>
      </c>
      <c r="HO113" t="s">
        <v>43</v>
      </c>
      <c r="HP113" t="s">
        <v>40</v>
      </c>
      <c r="HQ113" t="s">
        <v>40</v>
      </c>
      <c r="IK113">
        <v>0</v>
      </c>
    </row>
    <row r="114" spans="1:245" x14ac:dyDescent="0.2">
      <c r="A114">
        <v>18</v>
      </c>
      <c r="B114">
        <v>1</v>
      </c>
      <c r="C114">
        <v>123</v>
      </c>
      <c r="E114" t="s">
        <v>251</v>
      </c>
      <c r="F114" t="s">
        <v>252</v>
      </c>
      <c r="G114" t="s">
        <v>253</v>
      </c>
      <c r="H114" t="s">
        <v>170</v>
      </c>
      <c r="I114">
        <f>I113*J114</f>
        <v>0</v>
      </c>
      <c r="J114">
        <v>0</v>
      </c>
      <c r="K114">
        <v>0</v>
      </c>
      <c r="O114">
        <f t="shared" si="112"/>
        <v>0</v>
      </c>
      <c r="P114">
        <f t="shared" si="113"/>
        <v>0</v>
      </c>
      <c r="Q114">
        <f t="shared" si="114"/>
        <v>0</v>
      </c>
      <c r="R114">
        <f t="shared" si="115"/>
        <v>0</v>
      </c>
      <c r="S114">
        <f t="shared" si="116"/>
        <v>0</v>
      </c>
      <c r="T114">
        <f t="shared" si="117"/>
        <v>0</v>
      </c>
      <c r="U114">
        <f t="shared" si="118"/>
        <v>0</v>
      </c>
      <c r="V114">
        <f t="shared" si="119"/>
        <v>0</v>
      </c>
      <c r="W114">
        <f t="shared" si="120"/>
        <v>0</v>
      </c>
      <c r="X114">
        <f t="shared" si="121"/>
        <v>0</v>
      </c>
      <c r="Y114">
        <f t="shared" si="122"/>
        <v>0</v>
      </c>
      <c r="AA114">
        <v>94798619</v>
      </c>
      <c r="AB114">
        <f t="shared" si="123"/>
        <v>9040.01</v>
      </c>
      <c r="AC114">
        <f t="shared" si="124"/>
        <v>9040.01</v>
      </c>
      <c r="AD114">
        <f t="shared" si="125"/>
        <v>0</v>
      </c>
      <c r="AE114">
        <f t="shared" si="126"/>
        <v>0</v>
      </c>
      <c r="AF114">
        <f t="shared" si="127"/>
        <v>0</v>
      </c>
      <c r="AG114">
        <f t="shared" si="128"/>
        <v>0</v>
      </c>
      <c r="AH114">
        <f t="shared" si="129"/>
        <v>0</v>
      </c>
      <c r="AI114">
        <f t="shared" si="130"/>
        <v>0</v>
      </c>
      <c r="AJ114">
        <f t="shared" si="131"/>
        <v>0</v>
      </c>
      <c r="AK114">
        <v>9040.01</v>
      </c>
      <c r="AL114">
        <v>9040.01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93</v>
      </c>
      <c r="AU114">
        <v>62</v>
      </c>
      <c r="AV114">
        <v>1</v>
      </c>
      <c r="AW114">
        <v>1</v>
      </c>
      <c r="AZ114">
        <v>1</v>
      </c>
      <c r="BA114">
        <v>1</v>
      </c>
      <c r="BB114">
        <v>1</v>
      </c>
      <c r="BC114">
        <v>23.1</v>
      </c>
      <c r="BD114" t="s">
        <v>3</v>
      </c>
      <c r="BE114" t="s">
        <v>3</v>
      </c>
      <c r="BF114" t="s">
        <v>3</v>
      </c>
      <c r="BG114" t="s">
        <v>3</v>
      </c>
      <c r="BH114">
        <v>3</v>
      </c>
      <c r="BI114">
        <v>1</v>
      </c>
      <c r="BJ114" t="s">
        <v>254</v>
      </c>
      <c r="BM114">
        <v>9001</v>
      </c>
      <c r="BN114">
        <v>0</v>
      </c>
      <c r="BO114" t="s">
        <v>252</v>
      </c>
      <c r="BP114">
        <v>1</v>
      </c>
      <c r="BQ114">
        <v>2</v>
      </c>
      <c r="BR114">
        <v>0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 t="s">
        <v>3</v>
      </c>
      <c r="BZ114">
        <v>93</v>
      </c>
      <c r="CA114">
        <v>62</v>
      </c>
      <c r="CB114" t="s">
        <v>3</v>
      </c>
      <c r="CE114">
        <v>0</v>
      </c>
      <c r="CF114">
        <v>0</v>
      </c>
      <c r="CG114">
        <v>0</v>
      </c>
      <c r="CM114">
        <v>0</v>
      </c>
      <c r="CN114" t="s">
        <v>3</v>
      </c>
      <c r="CO114">
        <v>0</v>
      </c>
      <c r="CP114">
        <f t="shared" si="132"/>
        <v>0</v>
      </c>
      <c r="CQ114">
        <f t="shared" si="133"/>
        <v>208824.23100000003</v>
      </c>
      <c r="CR114">
        <f t="shared" si="134"/>
        <v>0</v>
      </c>
      <c r="CS114">
        <f t="shared" si="135"/>
        <v>0</v>
      </c>
      <c r="CT114">
        <f t="shared" si="136"/>
        <v>0</v>
      </c>
      <c r="CU114">
        <f t="shared" si="137"/>
        <v>0</v>
      </c>
      <c r="CV114">
        <f t="shared" si="138"/>
        <v>0</v>
      </c>
      <c r="CW114">
        <f t="shared" si="139"/>
        <v>0</v>
      </c>
      <c r="CX114">
        <f t="shared" si="140"/>
        <v>0</v>
      </c>
      <c r="CY114">
        <f>(((S114+R114)*AT114)/100)</f>
        <v>0</v>
      </c>
      <c r="CZ114">
        <f>(((S114+R114)*AU114)/100)</f>
        <v>0</v>
      </c>
      <c r="DC114" t="s">
        <v>3</v>
      </c>
      <c r="DD114" t="s">
        <v>3</v>
      </c>
      <c r="DE114" t="s">
        <v>3</v>
      </c>
      <c r="DF114" t="s">
        <v>3</v>
      </c>
      <c r="DG114" t="s">
        <v>3</v>
      </c>
      <c r="DH114" t="s">
        <v>3</v>
      </c>
      <c r="DI114" t="s">
        <v>3</v>
      </c>
      <c r="DJ114" t="s">
        <v>3</v>
      </c>
      <c r="DK114" t="s">
        <v>3</v>
      </c>
      <c r="DL114" t="s">
        <v>3</v>
      </c>
      <c r="DM114" t="s">
        <v>3</v>
      </c>
      <c r="DN114">
        <v>0</v>
      </c>
      <c r="DO114">
        <v>0</v>
      </c>
      <c r="DP114">
        <v>1</v>
      </c>
      <c r="DQ114">
        <v>1</v>
      </c>
      <c r="DU114">
        <v>1009</v>
      </c>
      <c r="DV114" t="s">
        <v>170</v>
      </c>
      <c r="DW114" t="s">
        <v>170</v>
      </c>
      <c r="DX114">
        <v>1000</v>
      </c>
      <c r="DZ114" t="s">
        <v>3</v>
      </c>
      <c r="EA114" t="s">
        <v>3</v>
      </c>
      <c r="EB114" t="s">
        <v>3</v>
      </c>
      <c r="EC114" t="s">
        <v>3</v>
      </c>
      <c r="EE114">
        <v>92109398</v>
      </c>
      <c r="EF114">
        <v>2</v>
      </c>
      <c r="EG114" t="s">
        <v>21</v>
      </c>
      <c r="EH114">
        <v>9</v>
      </c>
      <c r="EI114" t="s">
        <v>40</v>
      </c>
      <c r="EJ114">
        <v>1</v>
      </c>
      <c r="EK114">
        <v>9001</v>
      </c>
      <c r="EL114" t="s">
        <v>40</v>
      </c>
      <c r="EM114" t="s">
        <v>41</v>
      </c>
      <c r="EO114" t="s">
        <v>3</v>
      </c>
      <c r="EQ114">
        <v>0</v>
      </c>
      <c r="ER114">
        <v>9040.01</v>
      </c>
      <c r="ES114">
        <v>9040.01</v>
      </c>
      <c r="ET114">
        <v>0</v>
      </c>
      <c r="EU114">
        <v>0</v>
      </c>
      <c r="EV114">
        <v>0</v>
      </c>
      <c r="EW114">
        <v>0</v>
      </c>
      <c r="EX114">
        <v>0</v>
      </c>
      <c r="FQ114">
        <v>0</v>
      </c>
      <c r="FR114">
        <f t="shared" si="141"/>
        <v>0</v>
      </c>
      <c r="FS114">
        <v>0</v>
      </c>
      <c r="FX114">
        <v>93</v>
      </c>
      <c r="FY114">
        <v>62</v>
      </c>
      <c r="GA114" t="s">
        <v>3</v>
      </c>
      <c r="GD114">
        <v>1</v>
      </c>
      <c r="GF114">
        <v>-384985709</v>
      </c>
      <c r="GG114">
        <v>2</v>
      </c>
      <c r="GH114">
        <v>1</v>
      </c>
      <c r="GI114">
        <v>2</v>
      </c>
      <c r="GJ114">
        <v>0</v>
      </c>
      <c r="GK114">
        <v>0</v>
      </c>
      <c r="GL114">
        <f t="shared" si="142"/>
        <v>0</v>
      </c>
      <c r="GM114">
        <f t="shared" si="143"/>
        <v>0</v>
      </c>
      <c r="GN114">
        <f t="shared" si="144"/>
        <v>0</v>
      </c>
      <c r="GO114">
        <f t="shared" si="145"/>
        <v>0</v>
      </c>
      <c r="GP114">
        <f t="shared" si="146"/>
        <v>0</v>
      </c>
      <c r="GR114">
        <v>0</v>
      </c>
      <c r="GS114">
        <v>3</v>
      </c>
      <c r="GT114">
        <v>0</v>
      </c>
      <c r="GU114" t="s">
        <v>3</v>
      </c>
      <c r="GV114">
        <f t="shared" si="147"/>
        <v>0</v>
      </c>
      <c r="GW114">
        <v>1</v>
      </c>
      <c r="GX114">
        <f t="shared" si="148"/>
        <v>0</v>
      </c>
      <c r="HA114">
        <v>0</v>
      </c>
      <c r="HB114">
        <v>0</v>
      </c>
      <c r="HC114">
        <f t="shared" si="149"/>
        <v>0</v>
      </c>
      <c r="HE114" t="s">
        <v>3</v>
      </c>
      <c r="HF114" t="s">
        <v>3</v>
      </c>
      <c r="HM114" t="s">
        <v>3</v>
      </c>
      <c r="HN114" t="s">
        <v>42</v>
      </c>
      <c r="HO114" t="s">
        <v>43</v>
      </c>
      <c r="HP114" t="s">
        <v>40</v>
      </c>
      <c r="HQ114" t="s">
        <v>40</v>
      </c>
      <c r="IK114">
        <v>0</v>
      </c>
    </row>
    <row r="115" spans="1:245" x14ac:dyDescent="0.2">
      <c r="A115">
        <v>18</v>
      </c>
      <c r="B115">
        <v>1</v>
      </c>
      <c r="C115">
        <v>130</v>
      </c>
      <c r="E115" t="s">
        <v>255</v>
      </c>
      <c r="F115" t="s">
        <v>256</v>
      </c>
      <c r="G115" t="s">
        <v>257</v>
      </c>
      <c r="H115" t="s">
        <v>170</v>
      </c>
      <c r="I115">
        <f>I113*J115</f>
        <v>0.23300000000000001</v>
      </c>
      <c r="J115">
        <v>1</v>
      </c>
      <c r="K115">
        <v>1</v>
      </c>
      <c r="O115">
        <f t="shared" si="112"/>
        <v>0</v>
      </c>
      <c r="P115">
        <f t="shared" si="113"/>
        <v>0</v>
      </c>
      <c r="Q115">
        <f t="shared" si="114"/>
        <v>0</v>
      </c>
      <c r="R115">
        <f t="shared" si="115"/>
        <v>0</v>
      </c>
      <c r="S115">
        <f t="shared" si="116"/>
        <v>0</v>
      </c>
      <c r="T115">
        <f t="shared" si="117"/>
        <v>0</v>
      </c>
      <c r="U115">
        <f t="shared" si="118"/>
        <v>0</v>
      </c>
      <c r="V115">
        <f t="shared" si="119"/>
        <v>0</v>
      </c>
      <c r="W115">
        <f t="shared" si="120"/>
        <v>0</v>
      </c>
      <c r="X115">
        <f t="shared" si="121"/>
        <v>0</v>
      </c>
      <c r="Y115">
        <f t="shared" si="122"/>
        <v>0</v>
      </c>
      <c r="AA115">
        <v>94798619</v>
      </c>
      <c r="AB115">
        <f t="shared" si="123"/>
        <v>0</v>
      </c>
      <c r="AC115">
        <f t="shared" si="124"/>
        <v>0</v>
      </c>
      <c r="AD115">
        <f t="shared" si="125"/>
        <v>0</v>
      </c>
      <c r="AE115">
        <f t="shared" si="126"/>
        <v>0</v>
      </c>
      <c r="AF115">
        <f t="shared" si="127"/>
        <v>0</v>
      </c>
      <c r="AG115">
        <f t="shared" si="128"/>
        <v>0</v>
      </c>
      <c r="AH115">
        <f t="shared" si="129"/>
        <v>0</v>
      </c>
      <c r="AI115">
        <f t="shared" si="130"/>
        <v>0</v>
      </c>
      <c r="AJ115">
        <f t="shared" si="131"/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93</v>
      </c>
      <c r="AU115">
        <v>62</v>
      </c>
      <c r="AV115">
        <v>1</v>
      </c>
      <c r="AW115">
        <v>1</v>
      </c>
      <c r="AZ115">
        <v>1</v>
      </c>
      <c r="BA115">
        <v>1</v>
      </c>
      <c r="BB115">
        <v>1</v>
      </c>
      <c r="BC115">
        <v>1</v>
      </c>
      <c r="BD115" t="s">
        <v>3</v>
      </c>
      <c r="BE115" t="s">
        <v>3</v>
      </c>
      <c r="BF115" t="s">
        <v>3</v>
      </c>
      <c r="BG115" t="s">
        <v>3</v>
      </c>
      <c r="BH115">
        <v>3</v>
      </c>
      <c r="BI115">
        <v>1</v>
      </c>
      <c r="BJ115" t="s">
        <v>258</v>
      </c>
      <c r="BM115">
        <v>9001</v>
      </c>
      <c r="BN115">
        <v>0</v>
      </c>
      <c r="BO115" t="s">
        <v>3</v>
      </c>
      <c r="BP115">
        <v>0</v>
      </c>
      <c r="BQ115">
        <v>2</v>
      </c>
      <c r="BR115">
        <v>0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93</v>
      </c>
      <c r="CA115">
        <v>62</v>
      </c>
      <c r="CB115" t="s">
        <v>3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 t="shared" si="132"/>
        <v>0</v>
      </c>
      <c r="CQ115">
        <f t="shared" si="133"/>
        <v>0</v>
      </c>
      <c r="CR115">
        <f t="shared" si="134"/>
        <v>0</v>
      </c>
      <c r="CS115">
        <f t="shared" si="135"/>
        <v>0</v>
      </c>
      <c r="CT115">
        <f t="shared" si="136"/>
        <v>0</v>
      </c>
      <c r="CU115">
        <f t="shared" si="137"/>
        <v>0</v>
      </c>
      <c r="CV115">
        <f t="shared" si="138"/>
        <v>0</v>
      </c>
      <c r="CW115">
        <f t="shared" si="139"/>
        <v>0</v>
      </c>
      <c r="CX115">
        <f t="shared" si="140"/>
        <v>0</v>
      </c>
      <c r="CY115">
        <f>(((S115+R115)*AT115)/100)</f>
        <v>0</v>
      </c>
      <c r="CZ115">
        <f>(((S115+R115)*AU115)/100)</f>
        <v>0</v>
      </c>
      <c r="DC115" t="s">
        <v>3</v>
      </c>
      <c r="DD115" t="s">
        <v>3</v>
      </c>
      <c r="DE115" t="s">
        <v>3</v>
      </c>
      <c r="DF115" t="s">
        <v>3</v>
      </c>
      <c r="DG115" t="s">
        <v>3</v>
      </c>
      <c r="DH115" t="s">
        <v>3</v>
      </c>
      <c r="DI115" t="s">
        <v>3</v>
      </c>
      <c r="DJ115" t="s">
        <v>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1009</v>
      </c>
      <c r="DV115" t="s">
        <v>170</v>
      </c>
      <c r="DW115" t="s">
        <v>170</v>
      </c>
      <c r="DX115">
        <v>1000</v>
      </c>
      <c r="DZ115" t="s">
        <v>3</v>
      </c>
      <c r="EA115" t="s">
        <v>3</v>
      </c>
      <c r="EB115" t="s">
        <v>3</v>
      </c>
      <c r="EC115" t="s">
        <v>3</v>
      </c>
      <c r="EE115">
        <v>92109398</v>
      </c>
      <c r="EF115">
        <v>2</v>
      </c>
      <c r="EG115" t="s">
        <v>21</v>
      </c>
      <c r="EH115">
        <v>9</v>
      </c>
      <c r="EI115" t="s">
        <v>40</v>
      </c>
      <c r="EJ115">
        <v>1</v>
      </c>
      <c r="EK115">
        <v>9001</v>
      </c>
      <c r="EL115" t="s">
        <v>40</v>
      </c>
      <c r="EM115" t="s">
        <v>41</v>
      </c>
      <c r="EO115" t="s">
        <v>3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FQ115">
        <v>0</v>
      </c>
      <c r="FR115">
        <f t="shared" si="141"/>
        <v>0</v>
      </c>
      <c r="FS115">
        <v>0</v>
      </c>
      <c r="FX115">
        <v>93</v>
      </c>
      <c r="FY115">
        <v>62</v>
      </c>
      <c r="GA115" t="s">
        <v>3</v>
      </c>
      <c r="GD115">
        <v>1</v>
      </c>
      <c r="GF115">
        <v>-494558740</v>
      </c>
      <c r="GG115">
        <v>2</v>
      </c>
      <c r="GH115">
        <v>1</v>
      </c>
      <c r="GI115">
        <v>-2</v>
      </c>
      <c r="GJ115">
        <v>0</v>
      </c>
      <c r="GK115">
        <v>0</v>
      </c>
      <c r="GL115">
        <f t="shared" si="142"/>
        <v>0</v>
      </c>
      <c r="GM115">
        <f t="shared" si="143"/>
        <v>0</v>
      </c>
      <c r="GN115">
        <f t="shared" si="144"/>
        <v>0</v>
      </c>
      <c r="GO115">
        <f t="shared" si="145"/>
        <v>0</v>
      </c>
      <c r="GP115">
        <f t="shared" si="146"/>
        <v>0</v>
      </c>
      <c r="GR115">
        <v>0</v>
      </c>
      <c r="GS115">
        <v>3</v>
      </c>
      <c r="GT115">
        <v>0</v>
      </c>
      <c r="GU115" t="s">
        <v>3</v>
      </c>
      <c r="GV115">
        <f t="shared" si="147"/>
        <v>0</v>
      </c>
      <c r="GW115">
        <v>1</v>
      </c>
      <c r="GX115">
        <f t="shared" si="148"/>
        <v>0</v>
      </c>
      <c r="HA115">
        <v>0</v>
      </c>
      <c r="HB115">
        <v>0</v>
      </c>
      <c r="HC115">
        <f t="shared" si="149"/>
        <v>0</v>
      </c>
      <c r="HE115" t="s">
        <v>3</v>
      </c>
      <c r="HF115" t="s">
        <v>3</v>
      </c>
      <c r="HM115" t="s">
        <v>3</v>
      </c>
      <c r="HN115" t="s">
        <v>42</v>
      </c>
      <c r="HO115" t="s">
        <v>43</v>
      </c>
      <c r="HP115" t="s">
        <v>40</v>
      </c>
      <c r="HQ115" t="s">
        <v>40</v>
      </c>
      <c r="IK115">
        <v>0</v>
      </c>
    </row>
    <row r="117" spans="1:245" x14ac:dyDescent="0.2">
      <c r="A117" s="2">
        <v>51</v>
      </c>
      <c r="B117" s="2">
        <f>B98</f>
        <v>1</v>
      </c>
      <c r="C117" s="2">
        <f>A98</f>
        <v>5</v>
      </c>
      <c r="D117" s="2">
        <f>ROW(A98)</f>
        <v>98</v>
      </c>
      <c r="E117" s="2"/>
      <c r="F117" s="2" t="str">
        <f>IF(F98&lt;&gt;"",F98,"")</f>
        <v>Новый подраздел</v>
      </c>
      <c r="G117" s="2" t="str">
        <f>IF(G98&lt;&gt;"",G98,"")</f>
        <v>Ворота</v>
      </c>
      <c r="H117" s="2">
        <v>0</v>
      </c>
      <c r="I117" s="2"/>
      <c r="J117" s="2"/>
      <c r="K117" s="2"/>
      <c r="L117" s="2"/>
      <c r="M117" s="2"/>
      <c r="N117" s="2"/>
      <c r="O117" s="2">
        <f t="shared" ref="O117:T117" si="150">ROUND(AB117,2)</f>
        <v>48534.400000000001</v>
      </c>
      <c r="P117" s="2">
        <f t="shared" si="150"/>
        <v>28292.73</v>
      </c>
      <c r="Q117" s="2">
        <f t="shared" si="150"/>
        <v>7593.8</v>
      </c>
      <c r="R117" s="2">
        <f t="shared" si="150"/>
        <v>1179.28</v>
      </c>
      <c r="S117" s="2">
        <f t="shared" si="150"/>
        <v>12647.87</v>
      </c>
      <c r="T117" s="2">
        <f t="shared" si="150"/>
        <v>0</v>
      </c>
      <c r="U117" s="2">
        <f>AH117</f>
        <v>39.47701</v>
      </c>
      <c r="V117" s="2">
        <f>AI117</f>
        <v>2.7680600000000002</v>
      </c>
      <c r="W117" s="2">
        <f>ROUND(AJ117,2)</f>
        <v>0</v>
      </c>
      <c r="X117" s="2">
        <f>ROUND(AK117,2)</f>
        <v>12589.93</v>
      </c>
      <c r="Y117" s="2">
        <f>ROUND(AL117,2)</f>
        <v>7046.69</v>
      </c>
      <c r="Z117" s="2"/>
      <c r="AA117" s="2"/>
      <c r="AB117" s="2">
        <f>ROUND(SUMIF(AA102:AA115,"=94798619",O102:O115),2)</f>
        <v>48534.400000000001</v>
      </c>
      <c r="AC117" s="2">
        <f>ROUND(SUMIF(AA102:AA115,"=94798619",P102:P115),2)</f>
        <v>28292.73</v>
      </c>
      <c r="AD117" s="2">
        <f>ROUND(SUMIF(AA102:AA115,"=94798619",Q102:Q115),2)</f>
        <v>7593.8</v>
      </c>
      <c r="AE117" s="2">
        <f>ROUND(SUMIF(AA102:AA115,"=94798619",R102:R115),2)</f>
        <v>1179.28</v>
      </c>
      <c r="AF117" s="2">
        <f>ROUND(SUMIF(AA102:AA115,"=94798619",S102:S115),2)</f>
        <v>12647.87</v>
      </c>
      <c r="AG117" s="2">
        <f>ROUND(SUMIF(AA102:AA115,"=94798619",T102:T115),2)</f>
        <v>0</v>
      </c>
      <c r="AH117" s="2">
        <f>SUMIF(AA102:AA115,"=94798619",U102:U115)</f>
        <v>39.47701</v>
      </c>
      <c r="AI117" s="2">
        <f>SUMIF(AA102:AA115,"=94798619",V102:V115)</f>
        <v>2.7680600000000002</v>
      </c>
      <c r="AJ117" s="2">
        <f>ROUND(SUMIF(AA102:AA115,"=94798619",W102:W115),2)</f>
        <v>0</v>
      </c>
      <c r="AK117" s="2">
        <f>ROUND(SUMIF(AA102:AA115,"=94798619",X102:X115),2)</f>
        <v>12589.93</v>
      </c>
      <c r="AL117" s="2">
        <f>ROUND(SUMIF(AA102:AA115,"=94798619",Y102:Y115),2)</f>
        <v>7046.69</v>
      </c>
      <c r="AM117" s="2"/>
      <c r="AN117" s="2"/>
      <c r="AO117" s="2">
        <f t="shared" ref="AO117:BD117" si="151">ROUND(BX117,2)</f>
        <v>0</v>
      </c>
      <c r="AP117" s="2">
        <f t="shared" si="151"/>
        <v>0</v>
      </c>
      <c r="AQ117" s="2">
        <f t="shared" si="151"/>
        <v>0</v>
      </c>
      <c r="AR117" s="2">
        <f t="shared" si="151"/>
        <v>68171.02</v>
      </c>
      <c r="AS117" s="2">
        <f t="shared" si="151"/>
        <v>45584</v>
      </c>
      <c r="AT117" s="2">
        <f t="shared" si="151"/>
        <v>22587.02</v>
      </c>
      <c r="AU117" s="2">
        <f t="shared" si="151"/>
        <v>0</v>
      </c>
      <c r="AV117" s="2">
        <f t="shared" si="151"/>
        <v>28292.73</v>
      </c>
      <c r="AW117" s="2">
        <f t="shared" si="151"/>
        <v>28292.73</v>
      </c>
      <c r="AX117" s="2">
        <f t="shared" si="151"/>
        <v>0</v>
      </c>
      <c r="AY117" s="2">
        <f t="shared" si="151"/>
        <v>28292.73</v>
      </c>
      <c r="AZ117" s="2">
        <f t="shared" si="151"/>
        <v>0</v>
      </c>
      <c r="BA117" s="2">
        <f t="shared" si="151"/>
        <v>0</v>
      </c>
      <c r="BB117" s="2">
        <f t="shared" si="151"/>
        <v>0</v>
      </c>
      <c r="BC117" s="2">
        <f t="shared" si="151"/>
        <v>0</v>
      </c>
      <c r="BD117" s="2">
        <f t="shared" si="151"/>
        <v>0</v>
      </c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>
        <f>ROUND(SUMIF(AA102:AA115,"=94798619",FQ102:FQ115),2)</f>
        <v>0</v>
      </c>
      <c r="BY117" s="2">
        <f>ROUND(SUMIF(AA102:AA115,"=94798619",FR102:FR115),2)</f>
        <v>0</v>
      </c>
      <c r="BZ117" s="2">
        <f>ROUND(SUMIF(AA102:AA115,"=94798619",GL102:GL115),2)</f>
        <v>0</v>
      </c>
      <c r="CA117" s="2">
        <f>ROUND(SUMIF(AA102:AA115,"=94798619",GM102:GM115),2)</f>
        <v>68171.02</v>
      </c>
      <c r="CB117" s="2">
        <f>ROUND(SUMIF(AA102:AA115,"=94798619",GN102:GN115),2)</f>
        <v>45584</v>
      </c>
      <c r="CC117" s="2">
        <f>ROUND(SUMIF(AA102:AA115,"=94798619",GO102:GO115),2)</f>
        <v>22587.02</v>
      </c>
      <c r="CD117" s="2">
        <f>ROUND(SUMIF(AA102:AA115,"=94798619",GP102:GP115),2)</f>
        <v>0</v>
      </c>
      <c r="CE117" s="2">
        <f>AC117-BX117</f>
        <v>28292.73</v>
      </c>
      <c r="CF117" s="2">
        <f>AC117-BY117</f>
        <v>28292.73</v>
      </c>
      <c r="CG117" s="2">
        <f>BX117-BZ117</f>
        <v>0</v>
      </c>
      <c r="CH117" s="2">
        <f>AC117-BX117-BY117+BZ117</f>
        <v>28292.73</v>
      </c>
      <c r="CI117" s="2">
        <f>BY117-BZ117</f>
        <v>0</v>
      </c>
      <c r="CJ117" s="2">
        <f>ROUND(SUMIF(AA102:AA115,"=94798619",GX102:GX115),2)</f>
        <v>0</v>
      </c>
      <c r="CK117" s="2">
        <f>ROUND(SUMIF(AA102:AA115,"=94798619",GY102:GY115),2)</f>
        <v>0</v>
      </c>
      <c r="CL117" s="2">
        <f>ROUND(SUMIF(AA102:AA115,"=94798619",GZ102:GZ115),2)</f>
        <v>0</v>
      </c>
      <c r="CM117" s="2">
        <f>ROUND(SUMIF(AA102:AA115,"=94798619",HD102:HD115),2)</f>
        <v>0</v>
      </c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>
        <v>0</v>
      </c>
    </row>
    <row r="119" spans="1:245" x14ac:dyDescent="0.2">
      <c r="A119" s="4">
        <v>50</v>
      </c>
      <c r="B119" s="4">
        <v>0</v>
      </c>
      <c r="C119" s="4">
        <v>0</v>
      </c>
      <c r="D119" s="4">
        <v>1</v>
      </c>
      <c r="E119" s="4">
        <v>201</v>
      </c>
      <c r="F119" s="4">
        <f>ROUND(Source!O117,O119)</f>
        <v>48534.400000000001</v>
      </c>
      <c r="G119" s="4" t="s">
        <v>82</v>
      </c>
      <c r="H119" s="4" t="s">
        <v>83</v>
      </c>
      <c r="I119" s="4"/>
      <c r="J119" s="4"/>
      <c r="K119" s="4">
        <v>201</v>
      </c>
      <c r="L119" s="4">
        <v>1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48534.400000000001</v>
      </c>
      <c r="X119" s="4">
        <v>1</v>
      </c>
      <c r="Y119" s="4">
        <v>48534.400000000001</v>
      </c>
      <c r="Z119" s="4"/>
      <c r="AA119" s="4"/>
      <c r="AB119" s="4"/>
    </row>
    <row r="120" spans="1:245" x14ac:dyDescent="0.2">
      <c r="A120" s="4">
        <v>50</v>
      </c>
      <c r="B120" s="4">
        <v>0</v>
      </c>
      <c r="C120" s="4">
        <v>0</v>
      </c>
      <c r="D120" s="4">
        <v>1</v>
      </c>
      <c r="E120" s="4">
        <v>202</v>
      </c>
      <c r="F120" s="4">
        <f>ROUND(Source!P117,O120)</f>
        <v>28292.73</v>
      </c>
      <c r="G120" s="4" t="s">
        <v>84</v>
      </c>
      <c r="H120" s="4" t="s">
        <v>85</v>
      </c>
      <c r="I120" s="4"/>
      <c r="J120" s="4"/>
      <c r="K120" s="4">
        <v>202</v>
      </c>
      <c r="L120" s="4">
        <v>2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28292.73</v>
      </c>
      <c r="X120" s="4">
        <v>1</v>
      </c>
      <c r="Y120" s="4">
        <v>28292.73</v>
      </c>
      <c r="Z120" s="4"/>
      <c r="AA120" s="4"/>
      <c r="AB120" s="4"/>
    </row>
    <row r="121" spans="1:245" x14ac:dyDescent="0.2">
      <c r="A121" s="4">
        <v>50</v>
      </c>
      <c r="B121" s="4">
        <v>0</v>
      </c>
      <c r="C121" s="4">
        <v>0</v>
      </c>
      <c r="D121" s="4">
        <v>1</v>
      </c>
      <c r="E121" s="4">
        <v>222</v>
      </c>
      <c r="F121" s="4">
        <f>ROUND(Source!AO117,O121)</f>
        <v>0</v>
      </c>
      <c r="G121" s="4" t="s">
        <v>86</v>
      </c>
      <c r="H121" s="4" t="s">
        <v>87</v>
      </c>
      <c r="I121" s="4"/>
      <c r="J121" s="4"/>
      <c r="K121" s="4">
        <v>222</v>
      </c>
      <c r="L121" s="4">
        <v>3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>
        <v>0</v>
      </c>
      <c r="X121" s="4">
        <v>1</v>
      </c>
      <c r="Y121" s="4">
        <v>0</v>
      </c>
      <c r="Z121" s="4"/>
      <c r="AA121" s="4"/>
      <c r="AB121" s="4"/>
    </row>
    <row r="122" spans="1:245" x14ac:dyDescent="0.2">
      <c r="A122" s="4">
        <v>50</v>
      </c>
      <c r="B122" s="4">
        <v>0</v>
      </c>
      <c r="C122" s="4">
        <v>0</v>
      </c>
      <c r="D122" s="4">
        <v>1</v>
      </c>
      <c r="E122" s="4">
        <v>225</v>
      </c>
      <c r="F122" s="4">
        <f>ROUND(Source!AV117,O122)</f>
        <v>28292.73</v>
      </c>
      <c r="G122" s="4" t="s">
        <v>88</v>
      </c>
      <c r="H122" s="4" t="s">
        <v>89</v>
      </c>
      <c r="I122" s="4"/>
      <c r="J122" s="4"/>
      <c r="K122" s="4">
        <v>225</v>
      </c>
      <c r="L122" s="4">
        <v>4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>
        <v>28292.73</v>
      </c>
      <c r="X122" s="4">
        <v>1</v>
      </c>
      <c r="Y122" s="4">
        <v>28292.73</v>
      </c>
      <c r="Z122" s="4"/>
      <c r="AA122" s="4"/>
      <c r="AB122" s="4"/>
    </row>
    <row r="123" spans="1:245" x14ac:dyDescent="0.2">
      <c r="A123" s="4">
        <v>50</v>
      </c>
      <c r="B123" s="4">
        <v>0</v>
      </c>
      <c r="C123" s="4">
        <v>0</v>
      </c>
      <c r="D123" s="4">
        <v>1</v>
      </c>
      <c r="E123" s="4">
        <v>226</v>
      </c>
      <c r="F123" s="4">
        <f>ROUND(Source!AW117,O123)</f>
        <v>28292.73</v>
      </c>
      <c r="G123" s="4" t="s">
        <v>90</v>
      </c>
      <c r="H123" s="4" t="s">
        <v>91</v>
      </c>
      <c r="I123" s="4"/>
      <c r="J123" s="4"/>
      <c r="K123" s="4">
        <v>226</v>
      </c>
      <c r="L123" s="4">
        <v>5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>
        <v>28292.73</v>
      </c>
      <c r="X123" s="4">
        <v>1</v>
      </c>
      <c r="Y123" s="4">
        <v>28292.73</v>
      </c>
      <c r="Z123" s="4"/>
      <c r="AA123" s="4"/>
      <c r="AB123" s="4"/>
    </row>
    <row r="124" spans="1:245" x14ac:dyDescent="0.2">
      <c r="A124" s="4">
        <v>50</v>
      </c>
      <c r="B124" s="4">
        <v>0</v>
      </c>
      <c r="C124" s="4">
        <v>0</v>
      </c>
      <c r="D124" s="4">
        <v>1</v>
      </c>
      <c r="E124" s="4">
        <v>227</v>
      </c>
      <c r="F124" s="4">
        <f>ROUND(Source!AX117,O124)</f>
        <v>0</v>
      </c>
      <c r="G124" s="4" t="s">
        <v>92</v>
      </c>
      <c r="H124" s="4" t="s">
        <v>93</v>
      </c>
      <c r="I124" s="4"/>
      <c r="J124" s="4"/>
      <c r="K124" s="4">
        <v>227</v>
      </c>
      <c r="L124" s="4">
        <v>6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>
        <v>0</v>
      </c>
      <c r="X124" s="4">
        <v>1</v>
      </c>
      <c r="Y124" s="4">
        <v>0</v>
      </c>
      <c r="Z124" s="4"/>
      <c r="AA124" s="4"/>
      <c r="AB124" s="4"/>
    </row>
    <row r="125" spans="1:245" x14ac:dyDescent="0.2">
      <c r="A125" s="4">
        <v>50</v>
      </c>
      <c r="B125" s="4">
        <v>0</v>
      </c>
      <c r="C125" s="4">
        <v>0</v>
      </c>
      <c r="D125" s="4">
        <v>1</v>
      </c>
      <c r="E125" s="4">
        <v>228</v>
      </c>
      <c r="F125" s="4">
        <f>ROUND(Source!AY117,O125)</f>
        <v>28292.73</v>
      </c>
      <c r="G125" s="4" t="s">
        <v>94</v>
      </c>
      <c r="H125" s="4" t="s">
        <v>95</v>
      </c>
      <c r="I125" s="4"/>
      <c r="J125" s="4"/>
      <c r="K125" s="4">
        <v>228</v>
      </c>
      <c r="L125" s="4">
        <v>7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>
        <v>28292.73</v>
      </c>
      <c r="X125" s="4">
        <v>1</v>
      </c>
      <c r="Y125" s="4">
        <v>28292.73</v>
      </c>
      <c r="Z125" s="4"/>
      <c r="AA125" s="4"/>
      <c r="AB125" s="4"/>
    </row>
    <row r="126" spans="1:245" x14ac:dyDescent="0.2">
      <c r="A126" s="4">
        <v>50</v>
      </c>
      <c r="B126" s="4">
        <v>0</v>
      </c>
      <c r="C126" s="4">
        <v>0</v>
      </c>
      <c r="D126" s="4">
        <v>1</v>
      </c>
      <c r="E126" s="4">
        <v>216</v>
      </c>
      <c r="F126" s="4">
        <f>ROUND(Source!AP117,O126)</f>
        <v>0</v>
      </c>
      <c r="G126" s="4" t="s">
        <v>96</v>
      </c>
      <c r="H126" s="4" t="s">
        <v>97</v>
      </c>
      <c r="I126" s="4"/>
      <c r="J126" s="4"/>
      <c r="K126" s="4">
        <v>216</v>
      </c>
      <c r="L126" s="4">
        <v>8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0</v>
      </c>
      <c r="X126" s="4">
        <v>1</v>
      </c>
      <c r="Y126" s="4">
        <v>0</v>
      </c>
      <c r="Z126" s="4"/>
      <c r="AA126" s="4"/>
      <c r="AB126" s="4"/>
    </row>
    <row r="127" spans="1:245" x14ac:dyDescent="0.2">
      <c r="A127" s="4">
        <v>50</v>
      </c>
      <c r="B127" s="4">
        <v>0</v>
      </c>
      <c r="C127" s="4">
        <v>0</v>
      </c>
      <c r="D127" s="4">
        <v>1</v>
      </c>
      <c r="E127" s="4">
        <v>223</v>
      </c>
      <c r="F127" s="4">
        <f>ROUND(Source!AQ117,O127)</f>
        <v>0</v>
      </c>
      <c r="G127" s="4" t="s">
        <v>98</v>
      </c>
      <c r="H127" s="4" t="s">
        <v>99</v>
      </c>
      <c r="I127" s="4"/>
      <c r="J127" s="4"/>
      <c r="K127" s="4">
        <v>223</v>
      </c>
      <c r="L127" s="4">
        <v>9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0</v>
      </c>
      <c r="X127" s="4">
        <v>1</v>
      </c>
      <c r="Y127" s="4">
        <v>0</v>
      </c>
      <c r="Z127" s="4"/>
      <c r="AA127" s="4"/>
      <c r="AB127" s="4"/>
    </row>
    <row r="128" spans="1:245" x14ac:dyDescent="0.2">
      <c r="A128" s="4">
        <v>50</v>
      </c>
      <c r="B128" s="4">
        <v>0</v>
      </c>
      <c r="C128" s="4">
        <v>0</v>
      </c>
      <c r="D128" s="4">
        <v>1</v>
      </c>
      <c r="E128" s="4">
        <v>229</v>
      </c>
      <c r="F128" s="4">
        <f>ROUND(Source!AZ117,O128)</f>
        <v>0</v>
      </c>
      <c r="G128" s="4" t="s">
        <v>100</v>
      </c>
      <c r="H128" s="4" t="s">
        <v>101</v>
      </c>
      <c r="I128" s="4"/>
      <c r="J128" s="4"/>
      <c r="K128" s="4">
        <v>229</v>
      </c>
      <c r="L128" s="4">
        <v>10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0</v>
      </c>
      <c r="X128" s="4">
        <v>1</v>
      </c>
      <c r="Y128" s="4">
        <v>0</v>
      </c>
      <c r="Z128" s="4"/>
      <c r="AA128" s="4"/>
      <c r="AB128" s="4"/>
    </row>
    <row r="129" spans="1:28" x14ac:dyDescent="0.2">
      <c r="A129" s="4">
        <v>50</v>
      </c>
      <c r="B129" s="4">
        <v>0</v>
      </c>
      <c r="C129" s="4">
        <v>0</v>
      </c>
      <c r="D129" s="4">
        <v>1</v>
      </c>
      <c r="E129" s="4">
        <v>203</v>
      </c>
      <c r="F129" s="4">
        <f>ROUND(Source!Q117,O129)</f>
        <v>7593.8</v>
      </c>
      <c r="G129" s="4" t="s">
        <v>102</v>
      </c>
      <c r="H129" s="4" t="s">
        <v>103</v>
      </c>
      <c r="I129" s="4"/>
      <c r="J129" s="4"/>
      <c r="K129" s="4">
        <v>203</v>
      </c>
      <c r="L129" s="4">
        <v>11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7593.8</v>
      </c>
      <c r="X129" s="4">
        <v>1</v>
      </c>
      <c r="Y129" s="4">
        <v>7593.8</v>
      </c>
      <c r="Z129" s="4"/>
      <c r="AA129" s="4"/>
      <c r="AB129" s="4"/>
    </row>
    <row r="130" spans="1:28" x14ac:dyDescent="0.2">
      <c r="A130" s="4">
        <v>50</v>
      </c>
      <c r="B130" s="4">
        <v>0</v>
      </c>
      <c r="C130" s="4">
        <v>0</v>
      </c>
      <c r="D130" s="4">
        <v>1</v>
      </c>
      <c r="E130" s="4">
        <v>231</v>
      </c>
      <c r="F130" s="4">
        <f>ROUND(Source!BB117,O130)</f>
        <v>0</v>
      </c>
      <c r="G130" s="4" t="s">
        <v>104</v>
      </c>
      <c r="H130" s="4" t="s">
        <v>105</v>
      </c>
      <c r="I130" s="4"/>
      <c r="J130" s="4"/>
      <c r="K130" s="4">
        <v>231</v>
      </c>
      <c r="L130" s="4">
        <v>12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0</v>
      </c>
      <c r="X130" s="4">
        <v>1</v>
      </c>
      <c r="Y130" s="4">
        <v>0</v>
      </c>
      <c r="Z130" s="4"/>
      <c r="AA130" s="4"/>
      <c r="AB130" s="4"/>
    </row>
    <row r="131" spans="1:28" x14ac:dyDescent="0.2">
      <c r="A131" s="4">
        <v>50</v>
      </c>
      <c r="B131" s="4">
        <v>0</v>
      </c>
      <c r="C131" s="4">
        <v>0</v>
      </c>
      <c r="D131" s="4">
        <v>1</v>
      </c>
      <c r="E131" s="4">
        <v>204</v>
      </c>
      <c r="F131" s="4">
        <f>ROUND(Source!R117,O131)</f>
        <v>1179.28</v>
      </c>
      <c r="G131" s="4" t="s">
        <v>106</v>
      </c>
      <c r="H131" s="4" t="s">
        <v>107</v>
      </c>
      <c r="I131" s="4"/>
      <c r="J131" s="4"/>
      <c r="K131" s="4">
        <v>204</v>
      </c>
      <c r="L131" s="4">
        <v>13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1179.28</v>
      </c>
      <c r="X131" s="4">
        <v>1</v>
      </c>
      <c r="Y131" s="4">
        <v>1179.28</v>
      </c>
      <c r="Z131" s="4"/>
      <c r="AA131" s="4"/>
      <c r="AB131" s="4"/>
    </row>
    <row r="132" spans="1:28" x14ac:dyDescent="0.2">
      <c r="A132" s="4">
        <v>50</v>
      </c>
      <c r="B132" s="4">
        <v>0</v>
      </c>
      <c r="C132" s="4">
        <v>0</v>
      </c>
      <c r="D132" s="4">
        <v>1</v>
      </c>
      <c r="E132" s="4">
        <v>205</v>
      </c>
      <c r="F132" s="4">
        <f>ROUND(Source!S117,O132)</f>
        <v>12647.87</v>
      </c>
      <c r="G132" s="4" t="s">
        <v>108</v>
      </c>
      <c r="H132" s="4" t="s">
        <v>109</v>
      </c>
      <c r="I132" s="4"/>
      <c r="J132" s="4"/>
      <c r="K132" s="4">
        <v>205</v>
      </c>
      <c r="L132" s="4">
        <v>14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>
        <v>12647.87</v>
      </c>
      <c r="X132" s="4">
        <v>1</v>
      </c>
      <c r="Y132" s="4">
        <v>12647.87</v>
      </c>
      <c r="Z132" s="4"/>
      <c r="AA132" s="4"/>
      <c r="AB132" s="4"/>
    </row>
    <row r="133" spans="1:28" x14ac:dyDescent="0.2">
      <c r="A133" s="4">
        <v>50</v>
      </c>
      <c r="B133" s="4">
        <v>0</v>
      </c>
      <c r="C133" s="4">
        <v>0</v>
      </c>
      <c r="D133" s="4">
        <v>1</v>
      </c>
      <c r="E133" s="4">
        <v>232</v>
      </c>
      <c r="F133" s="4">
        <f>ROUND(Source!BC117,O133)</f>
        <v>0</v>
      </c>
      <c r="G133" s="4" t="s">
        <v>110</v>
      </c>
      <c r="H133" s="4" t="s">
        <v>111</v>
      </c>
      <c r="I133" s="4"/>
      <c r="J133" s="4"/>
      <c r="K133" s="4">
        <v>232</v>
      </c>
      <c r="L133" s="4">
        <v>15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0</v>
      </c>
      <c r="X133" s="4">
        <v>1</v>
      </c>
      <c r="Y133" s="4">
        <v>0</v>
      </c>
      <c r="Z133" s="4"/>
      <c r="AA133" s="4"/>
      <c r="AB133" s="4"/>
    </row>
    <row r="134" spans="1:28" x14ac:dyDescent="0.2">
      <c r="A134" s="4">
        <v>50</v>
      </c>
      <c r="B134" s="4">
        <v>0</v>
      </c>
      <c r="C134" s="4">
        <v>0</v>
      </c>
      <c r="D134" s="4">
        <v>1</v>
      </c>
      <c r="E134" s="4">
        <v>214</v>
      </c>
      <c r="F134" s="4">
        <f>ROUND(Source!AS117,O134)</f>
        <v>45584</v>
      </c>
      <c r="G134" s="4" t="s">
        <v>112</v>
      </c>
      <c r="H134" s="4" t="s">
        <v>113</v>
      </c>
      <c r="I134" s="4"/>
      <c r="J134" s="4"/>
      <c r="K134" s="4">
        <v>214</v>
      </c>
      <c r="L134" s="4">
        <v>16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45584</v>
      </c>
      <c r="X134" s="4">
        <v>1</v>
      </c>
      <c r="Y134" s="4">
        <v>45584</v>
      </c>
      <c r="Z134" s="4"/>
      <c r="AA134" s="4"/>
      <c r="AB134" s="4"/>
    </row>
    <row r="135" spans="1:28" x14ac:dyDescent="0.2">
      <c r="A135" s="4">
        <v>50</v>
      </c>
      <c r="B135" s="4">
        <v>0</v>
      </c>
      <c r="C135" s="4">
        <v>0</v>
      </c>
      <c r="D135" s="4">
        <v>1</v>
      </c>
      <c r="E135" s="4">
        <v>215</v>
      </c>
      <c r="F135" s="4">
        <f>ROUND(Source!AT117,O135)</f>
        <v>22587.02</v>
      </c>
      <c r="G135" s="4" t="s">
        <v>114</v>
      </c>
      <c r="H135" s="4" t="s">
        <v>115</v>
      </c>
      <c r="I135" s="4"/>
      <c r="J135" s="4"/>
      <c r="K135" s="4">
        <v>215</v>
      </c>
      <c r="L135" s="4">
        <v>17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22587.02</v>
      </c>
      <c r="X135" s="4">
        <v>1</v>
      </c>
      <c r="Y135" s="4">
        <v>22587.02</v>
      </c>
      <c r="Z135" s="4"/>
      <c r="AA135" s="4"/>
      <c r="AB135" s="4"/>
    </row>
    <row r="136" spans="1:28" x14ac:dyDescent="0.2">
      <c r="A136" s="4">
        <v>50</v>
      </c>
      <c r="B136" s="4">
        <v>0</v>
      </c>
      <c r="C136" s="4">
        <v>0</v>
      </c>
      <c r="D136" s="4">
        <v>1</v>
      </c>
      <c r="E136" s="4">
        <v>217</v>
      </c>
      <c r="F136" s="4">
        <f>ROUND(Source!AU117,O136)</f>
        <v>0</v>
      </c>
      <c r="G136" s="4" t="s">
        <v>116</v>
      </c>
      <c r="H136" s="4" t="s">
        <v>117</v>
      </c>
      <c r="I136" s="4"/>
      <c r="J136" s="4"/>
      <c r="K136" s="4">
        <v>217</v>
      </c>
      <c r="L136" s="4">
        <v>18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0</v>
      </c>
      <c r="X136" s="4">
        <v>1</v>
      </c>
      <c r="Y136" s="4">
        <v>0</v>
      </c>
      <c r="Z136" s="4"/>
      <c r="AA136" s="4"/>
      <c r="AB136" s="4"/>
    </row>
    <row r="137" spans="1:28" x14ac:dyDescent="0.2">
      <c r="A137" s="4">
        <v>50</v>
      </c>
      <c r="B137" s="4">
        <v>0</v>
      </c>
      <c r="C137" s="4">
        <v>0</v>
      </c>
      <c r="D137" s="4">
        <v>1</v>
      </c>
      <c r="E137" s="4">
        <v>230</v>
      </c>
      <c r="F137" s="4">
        <f>ROUND(Source!BA117,O137)</f>
        <v>0</v>
      </c>
      <c r="G137" s="4" t="s">
        <v>118</v>
      </c>
      <c r="H137" s="4" t="s">
        <v>119</v>
      </c>
      <c r="I137" s="4"/>
      <c r="J137" s="4"/>
      <c r="K137" s="4">
        <v>230</v>
      </c>
      <c r="L137" s="4">
        <v>19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0</v>
      </c>
      <c r="X137" s="4">
        <v>1</v>
      </c>
      <c r="Y137" s="4">
        <v>0</v>
      </c>
      <c r="Z137" s="4"/>
      <c r="AA137" s="4"/>
      <c r="AB137" s="4"/>
    </row>
    <row r="138" spans="1:28" x14ac:dyDescent="0.2">
      <c r="A138" s="4">
        <v>50</v>
      </c>
      <c r="B138" s="4">
        <v>0</v>
      </c>
      <c r="C138" s="4">
        <v>0</v>
      </c>
      <c r="D138" s="4">
        <v>1</v>
      </c>
      <c r="E138" s="4">
        <v>206</v>
      </c>
      <c r="F138" s="4">
        <f>ROUND(Source!T117,O138)</f>
        <v>0</v>
      </c>
      <c r="G138" s="4" t="s">
        <v>120</v>
      </c>
      <c r="H138" s="4" t="s">
        <v>121</v>
      </c>
      <c r="I138" s="4"/>
      <c r="J138" s="4"/>
      <c r="K138" s="4">
        <v>206</v>
      </c>
      <c r="L138" s="4">
        <v>20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>
        <v>0</v>
      </c>
      <c r="X138" s="4">
        <v>1</v>
      </c>
      <c r="Y138" s="4">
        <v>0</v>
      </c>
      <c r="Z138" s="4"/>
      <c r="AA138" s="4"/>
      <c r="AB138" s="4"/>
    </row>
    <row r="139" spans="1:28" x14ac:dyDescent="0.2">
      <c r="A139" s="4">
        <v>50</v>
      </c>
      <c r="B139" s="4">
        <v>0</v>
      </c>
      <c r="C139" s="4">
        <v>0</v>
      </c>
      <c r="D139" s="4">
        <v>1</v>
      </c>
      <c r="E139" s="4">
        <v>207</v>
      </c>
      <c r="F139" s="4">
        <f>Source!U117</f>
        <v>39.47701</v>
      </c>
      <c r="G139" s="4" t="s">
        <v>122</v>
      </c>
      <c r="H139" s="4" t="s">
        <v>123</v>
      </c>
      <c r="I139" s="4"/>
      <c r="J139" s="4"/>
      <c r="K139" s="4">
        <v>207</v>
      </c>
      <c r="L139" s="4">
        <v>21</v>
      </c>
      <c r="M139" s="4">
        <v>3</v>
      </c>
      <c r="N139" s="4" t="s">
        <v>3</v>
      </c>
      <c r="O139" s="4">
        <v>-1</v>
      </c>
      <c r="P139" s="4"/>
      <c r="Q139" s="4"/>
      <c r="R139" s="4"/>
      <c r="S139" s="4"/>
      <c r="T139" s="4"/>
      <c r="U139" s="4"/>
      <c r="V139" s="4"/>
      <c r="W139" s="4">
        <v>39.47701</v>
      </c>
      <c r="X139" s="4">
        <v>1</v>
      </c>
      <c r="Y139" s="4">
        <v>39.47701</v>
      </c>
      <c r="Z139" s="4"/>
      <c r="AA139" s="4"/>
      <c r="AB139" s="4"/>
    </row>
    <row r="140" spans="1:28" x14ac:dyDescent="0.2">
      <c r="A140" s="4">
        <v>50</v>
      </c>
      <c r="B140" s="4">
        <v>0</v>
      </c>
      <c r="C140" s="4">
        <v>0</v>
      </c>
      <c r="D140" s="4">
        <v>1</v>
      </c>
      <c r="E140" s="4">
        <v>208</v>
      </c>
      <c r="F140" s="4">
        <f>Source!V117</f>
        <v>2.7680600000000002</v>
      </c>
      <c r="G140" s="4" t="s">
        <v>124</v>
      </c>
      <c r="H140" s="4" t="s">
        <v>125</v>
      </c>
      <c r="I140" s="4"/>
      <c r="J140" s="4"/>
      <c r="K140" s="4">
        <v>208</v>
      </c>
      <c r="L140" s="4">
        <v>22</v>
      </c>
      <c r="M140" s="4">
        <v>3</v>
      </c>
      <c r="N140" s="4" t="s">
        <v>3</v>
      </c>
      <c r="O140" s="4">
        <v>-1</v>
      </c>
      <c r="P140" s="4"/>
      <c r="Q140" s="4"/>
      <c r="R140" s="4"/>
      <c r="S140" s="4"/>
      <c r="T140" s="4"/>
      <c r="U140" s="4"/>
      <c r="V140" s="4"/>
      <c r="W140" s="4">
        <v>2.7680600000000002</v>
      </c>
      <c r="X140" s="4">
        <v>1</v>
      </c>
      <c r="Y140" s="4">
        <v>2.7680600000000002</v>
      </c>
      <c r="Z140" s="4"/>
      <c r="AA140" s="4"/>
      <c r="AB140" s="4"/>
    </row>
    <row r="141" spans="1:28" x14ac:dyDescent="0.2">
      <c r="A141" s="4">
        <v>50</v>
      </c>
      <c r="B141" s="4">
        <v>0</v>
      </c>
      <c r="C141" s="4">
        <v>0</v>
      </c>
      <c r="D141" s="4">
        <v>1</v>
      </c>
      <c r="E141" s="4">
        <v>209</v>
      </c>
      <c r="F141" s="4">
        <f>ROUND(Source!W117,O141)</f>
        <v>0</v>
      </c>
      <c r="G141" s="4" t="s">
        <v>126</v>
      </c>
      <c r="H141" s="4" t="s">
        <v>127</v>
      </c>
      <c r="I141" s="4"/>
      <c r="J141" s="4"/>
      <c r="K141" s="4">
        <v>209</v>
      </c>
      <c r="L141" s="4">
        <v>23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8" x14ac:dyDescent="0.2">
      <c r="A142" s="4">
        <v>50</v>
      </c>
      <c r="B142" s="4">
        <v>0</v>
      </c>
      <c r="C142" s="4">
        <v>0</v>
      </c>
      <c r="D142" s="4">
        <v>1</v>
      </c>
      <c r="E142" s="4">
        <v>233</v>
      </c>
      <c r="F142" s="4">
        <f>ROUND(Source!BD117,O142)</f>
        <v>0</v>
      </c>
      <c r="G142" s="4" t="s">
        <v>128</v>
      </c>
      <c r="H142" s="4" t="s">
        <v>129</v>
      </c>
      <c r="I142" s="4"/>
      <c r="J142" s="4"/>
      <c r="K142" s="4">
        <v>233</v>
      </c>
      <c r="L142" s="4">
        <v>24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>
        <v>0</v>
      </c>
      <c r="X142" s="4">
        <v>1</v>
      </c>
      <c r="Y142" s="4">
        <v>0</v>
      </c>
      <c r="Z142" s="4"/>
      <c r="AA142" s="4"/>
      <c r="AB142" s="4"/>
    </row>
    <row r="143" spans="1:28" x14ac:dyDescent="0.2">
      <c r="A143" s="4">
        <v>50</v>
      </c>
      <c r="B143" s="4">
        <v>0</v>
      </c>
      <c r="C143" s="4">
        <v>0</v>
      </c>
      <c r="D143" s="4">
        <v>1</v>
      </c>
      <c r="E143" s="4">
        <v>210</v>
      </c>
      <c r="F143" s="4">
        <f>ROUND(Source!X117,O143)</f>
        <v>12589.93</v>
      </c>
      <c r="G143" s="4" t="s">
        <v>130</v>
      </c>
      <c r="H143" s="4" t="s">
        <v>131</v>
      </c>
      <c r="I143" s="4"/>
      <c r="J143" s="4"/>
      <c r="K143" s="4">
        <v>210</v>
      </c>
      <c r="L143" s="4">
        <v>25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>
        <v>12589.93</v>
      </c>
      <c r="X143" s="4">
        <v>1</v>
      </c>
      <c r="Y143" s="4">
        <v>12589.93</v>
      </c>
      <c r="Z143" s="4"/>
      <c r="AA143" s="4"/>
      <c r="AB143" s="4"/>
    </row>
    <row r="144" spans="1:28" x14ac:dyDescent="0.2">
      <c r="A144" s="4">
        <v>50</v>
      </c>
      <c r="B144" s="4">
        <v>0</v>
      </c>
      <c r="C144" s="4">
        <v>0</v>
      </c>
      <c r="D144" s="4">
        <v>1</v>
      </c>
      <c r="E144" s="4">
        <v>211</v>
      </c>
      <c r="F144" s="4">
        <f>ROUND(Source!Y117,O144)</f>
        <v>7046.69</v>
      </c>
      <c r="G144" s="4" t="s">
        <v>132</v>
      </c>
      <c r="H144" s="4" t="s">
        <v>133</v>
      </c>
      <c r="I144" s="4"/>
      <c r="J144" s="4"/>
      <c r="K144" s="4">
        <v>211</v>
      </c>
      <c r="L144" s="4">
        <v>26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>
        <v>7046.69</v>
      </c>
      <c r="X144" s="4">
        <v>1</v>
      </c>
      <c r="Y144" s="4">
        <v>7046.69</v>
      </c>
      <c r="Z144" s="4"/>
      <c r="AA144" s="4"/>
      <c r="AB144" s="4"/>
    </row>
    <row r="145" spans="1:245" x14ac:dyDescent="0.2">
      <c r="A145" s="4">
        <v>50</v>
      </c>
      <c r="B145" s="4">
        <v>0</v>
      </c>
      <c r="C145" s="4">
        <v>0</v>
      </c>
      <c r="D145" s="4">
        <v>1</v>
      </c>
      <c r="E145" s="4">
        <v>224</v>
      </c>
      <c r="F145" s="4">
        <f>ROUND(Source!AR117,O145)</f>
        <v>68171.02</v>
      </c>
      <c r="G145" s="4" t="s">
        <v>134</v>
      </c>
      <c r="H145" s="4" t="s">
        <v>135</v>
      </c>
      <c r="I145" s="4"/>
      <c r="J145" s="4"/>
      <c r="K145" s="4">
        <v>224</v>
      </c>
      <c r="L145" s="4">
        <v>27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68171.02</v>
      </c>
      <c r="X145" s="4">
        <v>1</v>
      </c>
      <c r="Y145" s="4">
        <v>68171.02</v>
      </c>
      <c r="Z145" s="4"/>
      <c r="AA145" s="4"/>
      <c r="AB145" s="4"/>
    </row>
    <row r="146" spans="1:245" x14ac:dyDescent="0.2">
      <c r="A146" s="4">
        <v>50</v>
      </c>
      <c r="B146" s="4">
        <v>1</v>
      </c>
      <c r="C146" s="4">
        <v>0</v>
      </c>
      <c r="D146" s="4">
        <v>2</v>
      </c>
      <c r="E146" s="4">
        <v>0</v>
      </c>
      <c r="F146" s="4">
        <f>ROUND(F132,O146)</f>
        <v>12647.87</v>
      </c>
      <c r="G146" s="4" t="s">
        <v>136</v>
      </c>
      <c r="H146" s="4" t="s">
        <v>108</v>
      </c>
      <c r="I146" s="4"/>
      <c r="J146" s="4"/>
      <c r="K146" s="4">
        <v>212</v>
      </c>
      <c r="L146" s="4">
        <v>28</v>
      </c>
      <c r="M146" s="4">
        <v>0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12647.87</v>
      </c>
      <c r="X146" s="4">
        <v>1</v>
      </c>
      <c r="Y146" s="4">
        <v>12647.87</v>
      </c>
      <c r="Z146" s="4"/>
      <c r="AA146" s="4"/>
      <c r="AB146" s="4"/>
    </row>
    <row r="147" spans="1:245" x14ac:dyDescent="0.2">
      <c r="A147" s="4">
        <v>50</v>
      </c>
      <c r="B147" s="4">
        <v>1</v>
      </c>
      <c r="C147" s="4">
        <v>0</v>
      </c>
      <c r="D147" s="4">
        <v>2</v>
      </c>
      <c r="E147" s="4">
        <v>0</v>
      </c>
      <c r="F147" s="4">
        <f>ROUND(F129,O147)</f>
        <v>7593.8</v>
      </c>
      <c r="G147" s="4" t="s">
        <v>137</v>
      </c>
      <c r="H147" s="4" t="s">
        <v>138</v>
      </c>
      <c r="I147" s="4"/>
      <c r="J147" s="4"/>
      <c r="K147" s="4">
        <v>212</v>
      </c>
      <c r="L147" s="4">
        <v>29</v>
      </c>
      <c r="M147" s="4">
        <v>0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7593.8</v>
      </c>
      <c r="X147" s="4">
        <v>1</v>
      </c>
      <c r="Y147" s="4">
        <v>7593.8</v>
      </c>
      <c r="Z147" s="4"/>
      <c r="AA147" s="4"/>
      <c r="AB147" s="4"/>
    </row>
    <row r="148" spans="1:245" x14ac:dyDescent="0.2">
      <c r="A148" s="4">
        <v>50</v>
      </c>
      <c r="B148" s="4">
        <v>1</v>
      </c>
      <c r="C148" s="4">
        <v>0</v>
      </c>
      <c r="D148" s="4">
        <v>2</v>
      </c>
      <c r="E148" s="4">
        <v>0</v>
      </c>
      <c r="F148" s="4">
        <f>ROUND(F120,O148)</f>
        <v>28292.73</v>
      </c>
      <c r="G148" s="4" t="s">
        <v>139</v>
      </c>
      <c r="H148" s="4" t="s">
        <v>140</v>
      </c>
      <c r="I148" s="4"/>
      <c r="J148" s="4"/>
      <c r="K148" s="4">
        <v>212</v>
      </c>
      <c r="L148" s="4">
        <v>30</v>
      </c>
      <c r="M148" s="4">
        <v>0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28292.73</v>
      </c>
      <c r="X148" s="4">
        <v>1</v>
      </c>
      <c r="Y148" s="4">
        <v>28292.73</v>
      </c>
      <c r="Z148" s="4"/>
      <c r="AA148" s="4"/>
      <c r="AB148" s="4"/>
    </row>
    <row r="149" spans="1:245" x14ac:dyDescent="0.2">
      <c r="A149" s="4">
        <v>50</v>
      </c>
      <c r="B149" s="4">
        <v>1</v>
      </c>
      <c r="C149" s="4">
        <v>0</v>
      </c>
      <c r="D149" s="4">
        <v>2</v>
      </c>
      <c r="E149" s="4">
        <v>0</v>
      </c>
      <c r="F149" s="4">
        <f>ROUND(F143,O149)</f>
        <v>12589.93</v>
      </c>
      <c r="G149" s="4" t="s">
        <v>141</v>
      </c>
      <c r="H149" s="4" t="s">
        <v>130</v>
      </c>
      <c r="I149" s="4"/>
      <c r="J149" s="4"/>
      <c r="K149" s="4">
        <v>212</v>
      </c>
      <c r="L149" s="4">
        <v>31</v>
      </c>
      <c r="M149" s="4">
        <v>0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12589.93</v>
      </c>
      <c r="X149" s="4">
        <v>1</v>
      </c>
      <c r="Y149" s="4">
        <v>12589.93</v>
      </c>
      <c r="Z149" s="4"/>
      <c r="AA149" s="4"/>
      <c r="AB149" s="4"/>
    </row>
    <row r="150" spans="1:245" x14ac:dyDescent="0.2">
      <c r="A150" s="4">
        <v>50</v>
      </c>
      <c r="B150" s="4">
        <v>1</v>
      </c>
      <c r="C150" s="4">
        <v>0</v>
      </c>
      <c r="D150" s="4">
        <v>2</v>
      </c>
      <c r="E150" s="4">
        <v>0</v>
      </c>
      <c r="F150" s="4">
        <f>ROUND(F144,O150)</f>
        <v>7046.69</v>
      </c>
      <c r="G150" s="4" t="s">
        <v>142</v>
      </c>
      <c r="H150" s="4" t="s">
        <v>143</v>
      </c>
      <c r="I150" s="4"/>
      <c r="J150" s="4"/>
      <c r="K150" s="4">
        <v>212</v>
      </c>
      <c r="L150" s="4">
        <v>32</v>
      </c>
      <c r="M150" s="4">
        <v>0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>
        <v>7046.69</v>
      </c>
      <c r="X150" s="4">
        <v>1</v>
      </c>
      <c r="Y150" s="4">
        <v>7046.69</v>
      </c>
      <c r="Z150" s="4"/>
      <c r="AA150" s="4"/>
      <c r="AB150" s="4"/>
    </row>
    <row r="151" spans="1:245" x14ac:dyDescent="0.2">
      <c r="A151" s="4">
        <v>50</v>
      </c>
      <c r="B151" s="4">
        <v>1</v>
      </c>
      <c r="C151" s="4">
        <v>0</v>
      </c>
      <c r="D151" s="4">
        <v>2</v>
      </c>
      <c r="E151" s="4">
        <v>0</v>
      </c>
      <c r="F151" s="4">
        <f>ROUND(F146+F147+F148+F149+F150,O151)</f>
        <v>68171.02</v>
      </c>
      <c r="G151" s="4" t="s">
        <v>144</v>
      </c>
      <c r="H151" s="4" t="s">
        <v>134</v>
      </c>
      <c r="I151" s="4"/>
      <c r="J151" s="4"/>
      <c r="K151" s="4">
        <v>212</v>
      </c>
      <c r="L151" s="4">
        <v>33</v>
      </c>
      <c r="M151" s="4">
        <v>0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>
        <v>68171.02</v>
      </c>
      <c r="X151" s="4">
        <v>1</v>
      </c>
      <c r="Y151" s="4">
        <v>68171.02</v>
      </c>
      <c r="Z151" s="4"/>
      <c r="AA151" s="4"/>
      <c r="AB151" s="4"/>
    </row>
    <row r="152" spans="1:245" x14ac:dyDescent="0.2">
      <c r="A152" s="4">
        <v>50</v>
      </c>
      <c r="B152" s="4">
        <v>1</v>
      </c>
      <c r="C152" s="4">
        <v>0</v>
      </c>
      <c r="D152" s="4">
        <v>2</v>
      </c>
      <c r="E152" s="4">
        <v>0</v>
      </c>
      <c r="F152" s="4">
        <f>ROUND(F151*0.2,O152)</f>
        <v>13634.2</v>
      </c>
      <c r="G152" s="4" t="s">
        <v>145</v>
      </c>
      <c r="H152" s="4" t="s">
        <v>146</v>
      </c>
      <c r="I152" s="4"/>
      <c r="J152" s="4"/>
      <c r="K152" s="4">
        <v>212</v>
      </c>
      <c r="L152" s="4">
        <v>34</v>
      </c>
      <c r="M152" s="4">
        <v>0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13634.2</v>
      </c>
      <c r="X152" s="4">
        <v>1</v>
      </c>
      <c r="Y152" s="4">
        <v>13634.2</v>
      </c>
      <c r="Z152" s="4"/>
      <c r="AA152" s="4"/>
      <c r="AB152" s="4"/>
    </row>
    <row r="153" spans="1:245" x14ac:dyDescent="0.2">
      <c r="A153" s="4">
        <v>50</v>
      </c>
      <c r="B153" s="4">
        <v>1</v>
      </c>
      <c r="C153" s="4">
        <v>0</v>
      </c>
      <c r="D153" s="4">
        <v>2</v>
      </c>
      <c r="E153" s="4">
        <v>213</v>
      </c>
      <c r="F153" s="4">
        <f>ROUND(F151+F152,O153)</f>
        <v>81805.22</v>
      </c>
      <c r="G153" s="4" t="s">
        <v>147</v>
      </c>
      <c r="H153" s="4" t="s">
        <v>148</v>
      </c>
      <c r="I153" s="4"/>
      <c r="J153" s="4"/>
      <c r="K153" s="4">
        <v>212</v>
      </c>
      <c r="L153" s="4">
        <v>35</v>
      </c>
      <c r="M153" s="4">
        <v>0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>
        <v>81805.22</v>
      </c>
      <c r="X153" s="4">
        <v>1</v>
      </c>
      <c r="Y153" s="4">
        <v>81805.22</v>
      </c>
      <c r="Z153" s="4"/>
      <c r="AA153" s="4"/>
      <c r="AB153" s="4"/>
    </row>
    <row r="155" spans="1:245" x14ac:dyDescent="0.2">
      <c r="A155" s="1">
        <v>5</v>
      </c>
      <c r="B155" s="1">
        <v>1</v>
      </c>
      <c r="C155" s="1"/>
      <c r="D155" s="1">
        <f>ROW(A167)</f>
        <v>167</v>
      </c>
      <c r="E155" s="1"/>
      <c r="F155" s="1" t="s">
        <v>203</v>
      </c>
      <c r="G155" s="1" t="s">
        <v>259</v>
      </c>
      <c r="H155" s="1" t="s">
        <v>3</v>
      </c>
      <c r="I155" s="1">
        <v>0</v>
      </c>
      <c r="J155" s="1"/>
      <c r="K155" s="1">
        <v>0</v>
      </c>
      <c r="L155" s="1"/>
      <c r="M155" s="1" t="s">
        <v>3</v>
      </c>
      <c r="N155" s="1"/>
      <c r="O155" s="1"/>
      <c r="P155" s="1"/>
      <c r="Q155" s="1"/>
      <c r="R155" s="1"/>
      <c r="S155" s="1">
        <v>0</v>
      </c>
      <c r="T155" s="1"/>
      <c r="U155" s="1" t="s">
        <v>3</v>
      </c>
      <c r="V155" s="1">
        <v>0</v>
      </c>
      <c r="W155" s="1"/>
      <c r="X155" s="1"/>
      <c r="Y155" s="1"/>
      <c r="Z155" s="1"/>
      <c r="AA155" s="1"/>
      <c r="AB155" s="1" t="s">
        <v>3</v>
      </c>
      <c r="AC155" s="1" t="s">
        <v>3</v>
      </c>
      <c r="AD155" s="1" t="s">
        <v>3</v>
      </c>
      <c r="AE155" s="1" t="s">
        <v>3</v>
      </c>
      <c r="AF155" s="1" t="s">
        <v>3</v>
      </c>
      <c r="AG155" s="1" t="s">
        <v>3</v>
      </c>
      <c r="AH155" s="1"/>
      <c r="AI155" s="1"/>
      <c r="AJ155" s="1"/>
      <c r="AK155" s="1"/>
      <c r="AL155" s="1"/>
      <c r="AM155" s="1"/>
      <c r="AN155" s="1"/>
      <c r="AO155" s="1"/>
      <c r="AP155" s="1" t="s">
        <v>3</v>
      </c>
      <c r="AQ155" s="1" t="s">
        <v>3</v>
      </c>
      <c r="AR155" s="1" t="s">
        <v>3</v>
      </c>
      <c r="AS155" s="1"/>
      <c r="AT155" s="1"/>
      <c r="AU155" s="1"/>
      <c r="AV155" s="1"/>
      <c r="AW155" s="1"/>
      <c r="AX155" s="1"/>
      <c r="AY155" s="1"/>
      <c r="AZ155" s="1" t="s">
        <v>3</v>
      </c>
      <c r="BA155" s="1"/>
      <c r="BB155" s="1" t="s">
        <v>3</v>
      </c>
      <c r="BC155" s="1" t="s">
        <v>3</v>
      </c>
      <c r="BD155" s="1" t="s">
        <v>3</v>
      </c>
      <c r="BE155" s="1" t="s">
        <v>3</v>
      </c>
      <c r="BF155" s="1" t="s">
        <v>3</v>
      </c>
      <c r="BG155" s="1" t="s">
        <v>3</v>
      </c>
      <c r="BH155" s="1" t="s">
        <v>3</v>
      </c>
      <c r="BI155" s="1" t="s">
        <v>3</v>
      </c>
      <c r="BJ155" s="1" t="s">
        <v>3</v>
      </c>
      <c r="BK155" s="1" t="s">
        <v>3</v>
      </c>
      <c r="BL155" s="1" t="s">
        <v>3</v>
      </c>
      <c r="BM155" s="1" t="s">
        <v>3</v>
      </c>
      <c r="BN155" s="1" t="s">
        <v>3</v>
      </c>
      <c r="BO155" s="1" t="s">
        <v>3</v>
      </c>
      <c r="BP155" s="1" t="s">
        <v>3</v>
      </c>
      <c r="BQ155" s="1"/>
      <c r="BR155" s="1"/>
      <c r="BS155" s="1"/>
      <c r="BT155" s="1"/>
      <c r="BU155" s="1"/>
      <c r="BV155" s="1"/>
      <c r="BW155" s="1"/>
      <c r="BX155" s="1">
        <v>0</v>
      </c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>
        <v>0</v>
      </c>
    </row>
    <row r="157" spans="1:245" x14ac:dyDescent="0.2">
      <c r="A157" s="2">
        <v>52</v>
      </c>
      <c r="B157" s="2">
        <f t="shared" ref="B157:G157" si="152">B167</f>
        <v>1</v>
      </c>
      <c r="C157" s="2">
        <f t="shared" si="152"/>
        <v>5</v>
      </c>
      <c r="D157" s="2">
        <f t="shared" si="152"/>
        <v>155</v>
      </c>
      <c r="E157" s="2">
        <f t="shared" si="152"/>
        <v>0</v>
      </c>
      <c r="F157" s="2" t="str">
        <f t="shared" si="152"/>
        <v>Новый подраздел</v>
      </c>
      <c r="G157" s="2" t="str">
        <f t="shared" si="152"/>
        <v>Калитка</v>
      </c>
      <c r="H157" s="2"/>
      <c r="I157" s="2"/>
      <c r="J157" s="2"/>
      <c r="K157" s="2"/>
      <c r="L157" s="2"/>
      <c r="M157" s="2"/>
      <c r="N157" s="2"/>
      <c r="O157" s="2">
        <f t="shared" ref="O157:AT157" si="153">O167</f>
        <v>4809.83</v>
      </c>
      <c r="P157" s="2">
        <f t="shared" si="153"/>
        <v>4581.82</v>
      </c>
      <c r="Q157" s="2">
        <f t="shared" si="153"/>
        <v>10.46</v>
      </c>
      <c r="R157" s="2">
        <f t="shared" si="153"/>
        <v>0</v>
      </c>
      <c r="S157" s="2">
        <f t="shared" si="153"/>
        <v>217.55</v>
      </c>
      <c r="T157" s="2">
        <f t="shared" si="153"/>
        <v>0</v>
      </c>
      <c r="U157" s="2">
        <f t="shared" si="153"/>
        <v>0.77390000000000003</v>
      </c>
      <c r="V157" s="2">
        <f t="shared" si="153"/>
        <v>0</v>
      </c>
      <c r="W157" s="2">
        <f t="shared" si="153"/>
        <v>0</v>
      </c>
      <c r="X157" s="2">
        <f t="shared" si="153"/>
        <v>239.31</v>
      </c>
      <c r="Y157" s="2">
        <f t="shared" si="153"/>
        <v>158.81</v>
      </c>
      <c r="Z157" s="2">
        <f t="shared" si="153"/>
        <v>0</v>
      </c>
      <c r="AA157" s="2">
        <f t="shared" si="153"/>
        <v>0</v>
      </c>
      <c r="AB157" s="2">
        <f t="shared" si="153"/>
        <v>4809.83</v>
      </c>
      <c r="AC157" s="2">
        <f t="shared" si="153"/>
        <v>4581.82</v>
      </c>
      <c r="AD157" s="2">
        <f t="shared" si="153"/>
        <v>10.46</v>
      </c>
      <c r="AE157" s="2">
        <f t="shared" si="153"/>
        <v>0</v>
      </c>
      <c r="AF157" s="2">
        <f t="shared" si="153"/>
        <v>217.55</v>
      </c>
      <c r="AG157" s="2">
        <f t="shared" si="153"/>
        <v>0</v>
      </c>
      <c r="AH157" s="2">
        <f t="shared" si="153"/>
        <v>0.77390000000000003</v>
      </c>
      <c r="AI157" s="2">
        <f t="shared" si="153"/>
        <v>0</v>
      </c>
      <c r="AJ157" s="2">
        <f t="shared" si="153"/>
        <v>0</v>
      </c>
      <c r="AK157" s="2">
        <f t="shared" si="153"/>
        <v>239.31</v>
      </c>
      <c r="AL157" s="2">
        <f t="shared" si="153"/>
        <v>158.81</v>
      </c>
      <c r="AM157" s="2">
        <f t="shared" si="153"/>
        <v>0</v>
      </c>
      <c r="AN157" s="2">
        <f t="shared" si="153"/>
        <v>0</v>
      </c>
      <c r="AO157" s="2">
        <f t="shared" si="153"/>
        <v>0</v>
      </c>
      <c r="AP157" s="2">
        <f t="shared" si="153"/>
        <v>0</v>
      </c>
      <c r="AQ157" s="2">
        <f t="shared" si="153"/>
        <v>0</v>
      </c>
      <c r="AR157" s="2">
        <f t="shared" si="153"/>
        <v>5207.95</v>
      </c>
      <c r="AS157" s="2">
        <f t="shared" si="153"/>
        <v>4738.55</v>
      </c>
      <c r="AT157" s="2">
        <f t="shared" si="153"/>
        <v>469.4</v>
      </c>
      <c r="AU157" s="2">
        <f t="shared" ref="AU157:BZ157" si="154">AU167</f>
        <v>0</v>
      </c>
      <c r="AV157" s="2">
        <f t="shared" si="154"/>
        <v>4581.82</v>
      </c>
      <c r="AW157" s="2">
        <f t="shared" si="154"/>
        <v>4581.82</v>
      </c>
      <c r="AX157" s="2">
        <f t="shared" si="154"/>
        <v>0</v>
      </c>
      <c r="AY157" s="2">
        <f t="shared" si="154"/>
        <v>4581.82</v>
      </c>
      <c r="AZ157" s="2">
        <f t="shared" si="154"/>
        <v>0</v>
      </c>
      <c r="BA157" s="2">
        <f t="shared" si="154"/>
        <v>0</v>
      </c>
      <c r="BB157" s="2">
        <f t="shared" si="154"/>
        <v>0</v>
      </c>
      <c r="BC157" s="2">
        <f t="shared" si="154"/>
        <v>0</v>
      </c>
      <c r="BD157" s="2">
        <f t="shared" si="154"/>
        <v>0</v>
      </c>
      <c r="BE157" s="2">
        <f t="shared" si="154"/>
        <v>0</v>
      </c>
      <c r="BF157" s="2">
        <f t="shared" si="154"/>
        <v>0</v>
      </c>
      <c r="BG157" s="2">
        <f t="shared" si="154"/>
        <v>0</v>
      </c>
      <c r="BH157" s="2">
        <f t="shared" si="154"/>
        <v>0</v>
      </c>
      <c r="BI157" s="2">
        <f t="shared" si="154"/>
        <v>0</v>
      </c>
      <c r="BJ157" s="2">
        <f t="shared" si="154"/>
        <v>0</v>
      </c>
      <c r="BK157" s="2">
        <f t="shared" si="154"/>
        <v>0</v>
      </c>
      <c r="BL157" s="2">
        <f t="shared" si="154"/>
        <v>0</v>
      </c>
      <c r="BM157" s="2">
        <f t="shared" si="154"/>
        <v>0</v>
      </c>
      <c r="BN157" s="2">
        <f t="shared" si="154"/>
        <v>0</v>
      </c>
      <c r="BO157" s="2">
        <f t="shared" si="154"/>
        <v>0</v>
      </c>
      <c r="BP157" s="2">
        <f t="shared" si="154"/>
        <v>0</v>
      </c>
      <c r="BQ157" s="2">
        <f t="shared" si="154"/>
        <v>0</v>
      </c>
      <c r="BR157" s="2">
        <f t="shared" si="154"/>
        <v>0</v>
      </c>
      <c r="BS157" s="2">
        <f t="shared" si="154"/>
        <v>0</v>
      </c>
      <c r="BT157" s="2">
        <f t="shared" si="154"/>
        <v>0</v>
      </c>
      <c r="BU157" s="2">
        <f t="shared" si="154"/>
        <v>0</v>
      </c>
      <c r="BV157" s="2">
        <f t="shared" si="154"/>
        <v>0</v>
      </c>
      <c r="BW157" s="2">
        <f t="shared" si="154"/>
        <v>0</v>
      </c>
      <c r="BX157" s="2">
        <f t="shared" si="154"/>
        <v>0</v>
      </c>
      <c r="BY157" s="2">
        <f t="shared" si="154"/>
        <v>0</v>
      </c>
      <c r="BZ157" s="2">
        <f t="shared" si="154"/>
        <v>0</v>
      </c>
      <c r="CA157" s="2">
        <f t="shared" ref="CA157:DF157" si="155">CA167</f>
        <v>5207.95</v>
      </c>
      <c r="CB157" s="2">
        <f t="shared" si="155"/>
        <v>4738.55</v>
      </c>
      <c r="CC157" s="2">
        <f t="shared" si="155"/>
        <v>469.4</v>
      </c>
      <c r="CD157" s="2">
        <f t="shared" si="155"/>
        <v>0</v>
      </c>
      <c r="CE157" s="2">
        <f t="shared" si="155"/>
        <v>4581.82</v>
      </c>
      <c r="CF157" s="2">
        <f t="shared" si="155"/>
        <v>4581.82</v>
      </c>
      <c r="CG157" s="2">
        <f t="shared" si="155"/>
        <v>0</v>
      </c>
      <c r="CH157" s="2">
        <f t="shared" si="155"/>
        <v>4581.82</v>
      </c>
      <c r="CI157" s="2">
        <f t="shared" si="155"/>
        <v>0</v>
      </c>
      <c r="CJ157" s="2">
        <f t="shared" si="155"/>
        <v>0</v>
      </c>
      <c r="CK157" s="2">
        <f t="shared" si="155"/>
        <v>0</v>
      </c>
      <c r="CL157" s="2">
        <f t="shared" si="155"/>
        <v>0</v>
      </c>
      <c r="CM157" s="2">
        <f t="shared" si="155"/>
        <v>0</v>
      </c>
      <c r="CN157" s="2">
        <f t="shared" si="155"/>
        <v>0</v>
      </c>
      <c r="CO157" s="2">
        <f t="shared" si="155"/>
        <v>0</v>
      </c>
      <c r="CP157" s="2">
        <f t="shared" si="155"/>
        <v>0</v>
      </c>
      <c r="CQ157" s="2">
        <f t="shared" si="155"/>
        <v>0</v>
      </c>
      <c r="CR157" s="2">
        <f t="shared" si="155"/>
        <v>0</v>
      </c>
      <c r="CS157" s="2">
        <f t="shared" si="155"/>
        <v>0</v>
      </c>
      <c r="CT157" s="2">
        <f t="shared" si="155"/>
        <v>0</v>
      </c>
      <c r="CU157" s="2">
        <f t="shared" si="155"/>
        <v>0</v>
      </c>
      <c r="CV157" s="2">
        <f t="shared" si="155"/>
        <v>0</v>
      </c>
      <c r="CW157" s="2">
        <f t="shared" si="155"/>
        <v>0</v>
      </c>
      <c r="CX157" s="2">
        <f t="shared" si="155"/>
        <v>0</v>
      </c>
      <c r="CY157" s="2">
        <f t="shared" si="155"/>
        <v>0</v>
      </c>
      <c r="CZ157" s="2">
        <f t="shared" si="155"/>
        <v>0</v>
      </c>
      <c r="DA157" s="2">
        <f t="shared" si="155"/>
        <v>0</v>
      </c>
      <c r="DB157" s="2">
        <f t="shared" si="155"/>
        <v>0</v>
      </c>
      <c r="DC157" s="2">
        <f t="shared" si="155"/>
        <v>0</v>
      </c>
      <c r="DD157" s="2">
        <f t="shared" si="155"/>
        <v>0</v>
      </c>
      <c r="DE157" s="2">
        <f t="shared" si="155"/>
        <v>0</v>
      </c>
      <c r="DF157" s="2">
        <f t="shared" si="155"/>
        <v>0</v>
      </c>
      <c r="DG157" s="3">
        <f t="shared" ref="DG157:EL157" si="156">DG167</f>
        <v>0</v>
      </c>
      <c r="DH157" s="3">
        <f t="shared" si="156"/>
        <v>0</v>
      </c>
      <c r="DI157" s="3">
        <f t="shared" si="156"/>
        <v>0</v>
      </c>
      <c r="DJ157" s="3">
        <f t="shared" si="156"/>
        <v>0</v>
      </c>
      <c r="DK157" s="3">
        <f t="shared" si="156"/>
        <v>0</v>
      </c>
      <c r="DL157" s="3">
        <f t="shared" si="156"/>
        <v>0</v>
      </c>
      <c r="DM157" s="3">
        <f t="shared" si="156"/>
        <v>0</v>
      </c>
      <c r="DN157" s="3">
        <f t="shared" si="156"/>
        <v>0</v>
      </c>
      <c r="DO157" s="3">
        <f t="shared" si="156"/>
        <v>0</v>
      </c>
      <c r="DP157" s="3">
        <f t="shared" si="156"/>
        <v>0</v>
      </c>
      <c r="DQ157" s="3">
        <f t="shared" si="156"/>
        <v>0</v>
      </c>
      <c r="DR157" s="3">
        <f t="shared" si="156"/>
        <v>0</v>
      </c>
      <c r="DS157" s="3">
        <f t="shared" si="156"/>
        <v>0</v>
      </c>
      <c r="DT157" s="3">
        <f t="shared" si="156"/>
        <v>0</v>
      </c>
      <c r="DU157" s="3">
        <f t="shared" si="156"/>
        <v>0</v>
      </c>
      <c r="DV157" s="3">
        <f t="shared" si="156"/>
        <v>0</v>
      </c>
      <c r="DW157" s="3">
        <f t="shared" si="156"/>
        <v>0</v>
      </c>
      <c r="DX157" s="3">
        <f t="shared" si="156"/>
        <v>0</v>
      </c>
      <c r="DY157" s="3">
        <f t="shared" si="156"/>
        <v>0</v>
      </c>
      <c r="DZ157" s="3">
        <f t="shared" si="156"/>
        <v>0</v>
      </c>
      <c r="EA157" s="3">
        <f t="shared" si="156"/>
        <v>0</v>
      </c>
      <c r="EB157" s="3">
        <f t="shared" si="156"/>
        <v>0</v>
      </c>
      <c r="EC157" s="3">
        <f t="shared" si="156"/>
        <v>0</v>
      </c>
      <c r="ED157" s="3">
        <f t="shared" si="156"/>
        <v>0</v>
      </c>
      <c r="EE157" s="3">
        <f t="shared" si="156"/>
        <v>0</v>
      </c>
      <c r="EF157" s="3">
        <f t="shared" si="156"/>
        <v>0</v>
      </c>
      <c r="EG157" s="3">
        <f t="shared" si="156"/>
        <v>0</v>
      </c>
      <c r="EH157" s="3">
        <f t="shared" si="156"/>
        <v>0</v>
      </c>
      <c r="EI157" s="3">
        <f t="shared" si="156"/>
        <v>0</v>
      </c>
      <c r="EJ157" s="3">
        <f t="shared" si="156"/>
        <v>0</v>
      </c>
      <c r="EK157" s="3">
        <f t="shared" si="156"/>
        <v>0</v>
      </c>
      <c r="EL157" s="3">
        <f t="shared" si="156"/>
        <v>0</v>
      </c>
      <c r="EM157" s="3">
        <f t="shared" ref="EM157:FR157" si="157">EM167</f>
        <v>0</v>
      </c>
      <c r="EN157" s="3">
        <f t="shared" si="157"/>
        <v>0</v>
      </c>
      <c r="EO157" s="3">
        <f t="shared" si="157"/>
        <v>0</v>
      </c>
      <c r="EP157" s="3">
        <f t="shared" si="157"/>
        <v>0</v>
      </c>
      <c r="EQ157" s="3">
        <f t="shared" si="157"/>
        <v>0</v>
      </c>
      <c r="ER157" s="3">
        <f t="shared" si="157"/>
        <v>0</v>
      </c>
      <c r="ES157" s="3">
        <f t="shared" si="157"/>
        <v>0</v>
      </c>
      <c r="ET157" s="3">
        <f t="shared" si="157"/>
        <v>0</v>
      </c>
      <c r="EU157" s="3">
        <f t="shared" si="157"/>
        <v>0</v>
      </c>
      <c r="EV157" s="3">
        <f t="shared" si="157"/>
        <v>0</v>
      </c>
      <c r="EW157" s="3">
        <f t="shared" si="157"/>
        <v>0</v>
      </c>
      <c r="EX157" s="3">
        <f t="shared" si="157"/>
        <v>0</v>
      </c>
      <c r="EY157" s="3">
        <f t="shared" si="157"/>
        <v>0</v>
      </c>
      <c r="EZ157" s="3">
        <f t="shared" si="157"/>
        <v>0</v>
      </c>
      <c r="FA157" s="3">
        <f t="shared" si="157"/>
        <v>0</v>
      </c>
      <c r="FB157" s="3">
        <f t="shared" si="157"/>
        <v>0</v>
      </c>
      <c r="FC157" s="3">
        <f t="shared" si="157"/>
        <v>0</v>
      </c>
      <c r="FD157" s="3">
        <f t="shared" si="157"/>
        <v>0</v>
      </c>
      <c r="FE157" s="3">
        <f t="shared" si="157"/>
        <v>0</v>
      </c>
      <c r="FF157" s="3">
        <f t="shared" si="157"/>
        <v>0</v>
      </c>
      <c r="FG157" s="3">
        <f t="shared" si="157"/>
        <v>0</v>
      </c>
      <c r="FH157" s="3">
        <f t="shared" si="157"/>
        <v>0</v>
      </c>
      <c r="FI157" s="3">
        <f t="shared" si="157"/>
        <v>0</v>
      </c>
      <c r="FJ157" s="3">
        <f t="shared" si="157"/>
        <v>0</v>
      </c>
      <c r="FK157" s="3">
        <f t="shared" si="157"/>
        <v>0</v>
      </c>
      <c r="FL157" s="3">
        <f t="shared" si="157"/>
        <v>0</v>
      </c>
      <c r="FM157" s="3">
        <f t="shared" si="157"/>
        <v>0</v>
      </c>
      <c r="FN157" s="3">
        <f t="shared" si="157"/>
        <v>0</v>
      </c>
      <c r="FO157" s="3">
        <f t="shared" si="157"/>
        <v>0</v>
      </c>
      <c r="FP157" s="3">
        <f t="shared" si="157"/>
        <v>0</v>
      </c>
      <c r="FQ157" s="3">
        <f t="shared" si="157"/>
        <v>0</v>
      </c>
      <c r="FR157" s="3">
        <f t="shared" si="157"/>
        <v>0</v>
      </c>
      <c r="FS157" s="3">
        <f t="shared" ref="FS157:GX157" si="158">FS167</f>
        <v>0</v>
      </c>
      <c r="FT157" s="3">
        <f t="shared" si="158"/>
        <v>0</v>
      </c>
      <c r="FU157" s="3">
        <f t="shared" si="158"/>
        <v>0</v>
      </c>
      <c r="FV157" s="3">
        <f t="shared" si="158"/>
        <v>0</v>
      </c>
      <c r="FW157" s="3">
        <f t="shared" si="158"/>
        <v>0</v>
      </c>
      <c r="FX157" s="3">
        <f t="shared" si="158"/>
        <v>0</v>
      </c>
      <c r="FY157" s="3">
        <f t="shared" si="158"/>
        <v>0</v>
      </c>
      <c r="FZ157" s="3">
        <f t="shared" si="158"/>
        <v>0</v>
      </c>
      <c r="GA157" s="3">
        <f t="shared" si="158"/>
        <v>0</v>
      </c>
      <c r="GB157" s="3">
        <f t="shared" si="158"/>
        <v>0</v>
      </c>
      <c r="GC157" s="3">
        <f t="shared" si="158"/>
        <v>0</v>
      </c>
      <c r="GD157" s="3">
        <f t="shared" si="158"/>
        <v>0</v>
      </c>
      <c r="GE157" s="3">
        <f t="shared" si="158"/>
        <v>0</v>
      </c>
      <c r="GF157" s="3">
        <f t="shared" si="158"/>
        <v>0</v>
      </c>
      <c r="GG157" s="3">
        <f t="shared" si="158"/>
        <v>0</v>
      </c>
      <c r="GH157" s="3">
        <f t="shared" si="158"/>
        <v>0</v>
      </c>
      <c r="GI157" s="3">
        <f t="shared" si="158"/>
        <v>0</v>
      </c>
      <c r="GJ157" s="3">
        <f t="shared" si="158"/>
        <v>0</v>
      </c>
      <c r="GK157" s="3">
        <f t="shared" si="158"/>
        <v>0</v>
      </c>
      <c r="GL157" s="3">
        <f t="shared" si="158"/>
        <v>0</v>
      </c>
      <c r="GM157" s="3">
        <f t="shared" si="158"/>
        <v>0</v>
      </c>
      <c r="GN157" s="3">
        <f t="shared" si="158"/>
        <v>0</v>
      </c>
      <c r="GO157" s="3">
        <f t="shared" si="158"/>
        <v>0</v>
      </c>
      <c r="GP157" s="3">
        <f t="shared" si="158"/>
        <v>0</v>
      </c>
      <c r="GQ157" s="3">
        <f t="shared" si="158"/>
        <v>0</v>
      </c>
      <c r="GR157" s="3">
        <f t="shared" si="158"/>
        <v>0</v>
      </c>
      <c r="GS157" s="3">
        <f t="shared" si="158"/>
        <v>0</v>
      </c>
      <c r="GT157" s="3">
        <f t="shared" si="158"/>
        <v>0</v>
      </c>
      <c r="GU157" s="3">
        <f t="shared" si="158"/>
        <v>0</v>
      </c>
      <c r="GV157" s="3">
        <f t="shared" si="158"/>
        <v>0</v>
      </c>
      <c r="GW157" s="3">
        <f t="shared" si="158"/>
        <v>0</v>
      </c>
      <c r="GX157" s="3">
        <f t="shared" si="158"/>
        <v>0</v>
      </c>
    </row>
    <row r="159" spans="1:245" x14ac:dyDescent="0.2">
      <c r="A159">
        <v>17</v>
      </c>
      <c r="B159">
        <v>1</v>
      </c>
      <c r="C159">
        <f>ROW(SmtRes!A136)</f>
        <v>136</v>
      </c>
      <c r="D159">
        <f>ROW(EtalonRes!A136)</f>
        <v>136</v>
      </c>
      <c r="E159" t="s">
        <v>260</v>
      </c>
      <c r="F159" t="s">
        <v>261</v>
      </c>
      <c r="G159" t="s">
        <v>262</v>
      </c>
      <c r="H159" t="s">
        <v>263</v>
      </c>
      <c r="I159">
        <f>ROUND(1/100,9)</f>
        <v>0.01</v>
      </c>
      <c r="J159">
        <v>0</v>
      </c>
      <c r="K159">
        <f>ROUND(1/100,9)</f>
        <v>0.01</v>
      </c>
      <c r="O159">
        <f t="shared" ref="O159:O165" si="159">ROUND(CP159,2)</f>
        <v>257.7</v>
      </c>
      <c r="P159">
        <f t="shared" ref="P159:P165" si="160">ROUND(CQ159*I159,2)</f>
        <v>29.69</v>
      </c>
      <c r="Q159">
        <f t="shared" ref="Q159:Q165" si="161">ROUND(CR159*I159,2)</f>
        <v>10.46</v>
      </c>
      <c r="R159">
        <f t="shared" ref="R159:R165" si="162">ROUND(CS159*I159,2)</f>
        <v>0</v>
      </c>
      <c r="S159">
        <f t="shared" ref="S159:S165" si="163">ROUND(CT159*I159,2)</f>
        <v>217.55</v>
      </c>
      <c r="T159">
        <f t="shared" ref="T159:T165" si="164">ROUND(CU159*I159,2)</f>
        <v>0</v>
      </c>
      <c r="U159">
        <f t="shared" ref="U159:U165" si="165">CV159*I159</f>
        <v>0.77390000000000003</v>
      </c>
      <c r="V159">
        <f t="shared" ref="V159:V165" si="166">CW159*I159</f>
        <v>0</v>
      </c>
      <c r="W159">
        <f t="shared" ref="W159:W165" si="167">ROUND(CX159*I159,2)</f>
        <v>0</v>
      </c>
      <c r="X159">
        <f t="shared" ref="X159:Y165" si="168">ROUND(CY159,2)</f>
        <v>239.31</v>
      </c>
      <c r="Y159">
        <f t="shared" si="168"/>
        <v>158.81</v>
      </c>
      <c r="AA159">
        <v>94798619</v>
      </c>
      <c r="AB159">
        <f t="shared" ref="AB159:AB165" si="169">ROUND((AC159+AD159+AF159),2)</f>
        <v>924.06</v>
      </c>
      <c r="AC159">
        <f t="shared" ref="AC159:AC165" si="170">ROUND((ES159),2)</f>
        <v>188.48</v>
      </c>
      <c r="AD159">
        <f t="shared" ref="AD159:AD165" si="171">ROUND((((ET159)-(EU159))+AE159),2)</f>
        <v>118.78</v>
      </c>
      <c r="AE159">
        <f t="shared" ref="AE159:AF165" si="172">ROUND((EU159),2)</f>
        <v>0</v>
      </c>
      <c r="AF159">
        <f t="shared" si="172"/>
        <v>616.79999999999995</v>
      </c>
      <c r="AG159">
        <f t="shared" ref="AG159:AG165" si="173">ROUND((AP159),2)</f>
        <v>0</v>
      </c>
      <c r="AH159">
        <f t="shared" ref="AH159:AI165" si="174">(EW159)</f>
        <v>77.39</v>
      </c>
      <c r="AI159">
        <f t="shared" si="174"/>
        <v>0</v>
      </c>
      <c r="AJ159">
        <f t="shared" ref="AJ159:AJ165" si="175">(AS159)</f>
        <v>0</v>
      </c>
      <c r="AK159">
        <v>924.06</v>
      </c>
      <c r="AL159">
        <v>188.48</v>
      </c>
      <c r="AM159">
        <v>118.78</v>
      </c>
      <c r="AN159">
        <v>0</v>
      </c>
      <c r="AO159">
        <v>616.79999999999995</v>
      </c>
      <c r="AP159">
        <v>0</v>
      </c>
      <c r="AQ159">
        <v>77.39</v>
      </c>
      <c r="AR159">
        <v>0</v>
      </c>
      <c r="AS159">
        <v>0</v>
      </c>
      <c r="AT159">
        <v>110</v>
      </c>
      <c r="AU159">
        <v>73</v>
      </c>
      <c r="AV159">
        <v>1</v>
      </c>
      <c r="AW159">
        <v>1</v>
      </c>
      <c r="AZ159">
        <v>1</v>
      </c>
      <c r="BA159">
        <v>35.270000000000003</v>
      </c>
      <c r="BB159">
        <v>8.81</v>
      </c>
      <c r="BC159">
        <v>15.75</v>
      </c>
      <c r="BD159" t="s">
        <v>3</v>
      </c>
      <c r="BE159" t="s">
        <v>3</v>
      </c>
      <c r="BF159" t="s">
        <v>3</v>
      </c>
      <c r="BG159" t="s">
        <v>3</v>
      </c>
      <c r="BH159">
        <v>0</v>
      </c>
      <c r="BI159">
        <v>1</v>
      </c>
      <c r="BJ159" t="s">
        <v>264</v>
      </c>
      <c r="BM159">
        <v>7001</v>
      </c>
      <c r="BN159">
        <v>0</v>
      </c>
      <c r="BO159" t="s">
        <v>261</v>
      </c>
      <c r="BP159">
        <v>1</v>
      </c>
      <c r="BQ159">
        <v>2</v>
      </c>
      <c r="BR159">
        <v>0</v>
      </c>
      <c r="BS159">
        <v>35.270000000000003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3</v>
      </c>
      <c r="BZ159">
        <v>110</v>
      </c>
      <c r="CA159">
        <v>73</v>
      </c>
      <c r="CB159" t="s">
        <v>3</v>
      </c>
      <c r="CE159">
        <v>0</v>
      </c>
      <c r="CF159">
        <v>0</v>
      </c>
      <c r="CG159">
        <v>0</v>
      </c>
      <c r="CM159">
        <v>0</v>
      </c>
      <c r="CN159" t="s">
        <v>3</v>
      </c>
      <c r="CO159">
        <v>0</v>
      </c>
      <c r="CP159">
        <f t="shared" ref="CP159:CP165" si="176">(P159+Q159+S159)</f>
        <v>257.70000000000005</v>
      </c>
      <c r="CQ159">
        <f t="shared" ref="CQ159:CQ165" si="177">AC159*BC159</f>
        <v>2968.56</v>
      </c>
      <c r="CR159">
        <f t="shared" ref="CR159:CR165" si="178">(((ET159)*BB159-(EU159)*BS159)+AE159*BS159)</f>
        <v>1046.4518</v>
      </c>
      <c r="CS159">
        <f t="shared" ref="CS159:CS165" si="179">AE159*BS159</f>
        <v>0</v>
      </c>
      <c r="CT159">
        <f t="shared" ref="CT159:CT165" si="180">AF159*BA159</f>
        <v>21754.536</v>
      </c>
      <c r="CU159">
        <f t="shared" ref="CU159:CX165" si="181">AG159</f>
        <v>0</v>
      </c>
      <c r="CV159">
        <f t="shared" si="181"/>
        <v>77.39</v>
      </c>
      <c r="CW159">
        <f t="shared" si="181"/>
        <v>0</v>
      </c>
      <c r="CX159">
        <f t="shared" si="181"/>
        <v>0</v>
      </c>
      <c r="CY159">
        <f>(((S159+R159)*AT159)/100)</f>
        <v>239.30500000000001</v>
      </c>
      <c r="CZ159">
        <f>(((S159+R159)*AU159)/100)</f>
        <v>158.81150000000002</v>
      </c>
      <c r="DC159" t="s">
        <v>3</v>
      </c>
      <c r="DD159" t="s">
        <v>3</v>
      </c>
      <c r="DE159" t="s">
        <v>3</v>
      </c>
      <c r="DF159" t="s">
        <v>3</v>
      </c>
      <c r="DG159" t="s">
        <v>3</v>
      </c>
      <c r="DH159" t="s">
        <v>3</v>
      </c>
      <c r="DI159" t="s">
        <v>3</v>
      </c>
      <c r="DJ159" t="s">
        <v>3</v>
      </c>
      <c r="DK159" t="s">
        <v>3</v>
      </c>
      <c r="DL159" t="s">
        <v>3</v>
      </c>
      <c r="DM159" t="s">
        <v>3</v>
      </c>
      <c r="DN159">
        <v>0</v>
      </c>
      <c r="DO159">
        <v>0</v>
      </c>
      <c r="DP159">
        <v>1</v>
      </c>
      <c r="DQ159">
        <v>1</v>
      </c>
      <c r="DU159">
        <v>1010</v>
      </c>
      <c r="DV159" t="s">
        <v>263</v>
      </c>
      <c r="DW159" t="s">
        <v>263</v>
      </c>
      <c r="DX159">
        <v>100</v>
      </c>
      <c r="DZ159" t="s">
        <v>3</v>
      </c>
      <c r="EA159" t="s">
        <v>3</v>
      </c>
      <c r="EB159" t="s">
        <v>3</v>
      </c>
      <c r="EC159" t="s">
        <v>3</v>
      </c>
      <c r="EE159">
        <v>92109389</v>
      </c>
      <c r="EF159">
        <v>2</v>
      </c>
      <c r="EG159" t="s">
        <v>21</v>
      </c>
      <c r="EH159">
        <v>7</v>
      </c>
      <c r="EI159" t="s">
        <v>60</v>
      </c>
      <c r="EJ159">
        <v>1</v>
      </c>
      <c r="EK159">
        <v>7001</v>
      </c>
      <c r="EL159" t="s">
        <v>60</v>
      </c>
      <c r="EM159" t="s">
        <v>61</v>
      </c>
      <c r="EO159" t="s">
        <v>3</v>
      </c>
      <c r="EQ159">
        <v>0</v>
      </c>
      <c r="ER159">
        <v>924.06</v>
      </c>
      <c r="ES159">
        <v>188.48</v>
      </c>
      <c r="ET159">
        <v>118.78</v>
      </c>
      <c r="EU159">
        <v>0</v>
      </c>
      <c r="EV159">
        <v>616.79999999999995</v>
      </c>
      <c r="EW159">
        <v>77.39</v>
      </c>
      <c r="EX159">
        <v>0</v>
      </c>
      <c r="EY159">
        <v>0</v>
      </c>
      <c r="FQ159">
        <v>0</v>
      </c>
      <c r="FR159">
        <f t="shared" ref="FR159:FR165" si="182">ROUND(IF(BI159=3,GM159,0),2)</f>
        <v>0</v>
      </c>
      <c r="FS159">
        <v>0</v>
      </c>
      <c r="FX159">
        <v>110</v>
      </c>
      <c r="FY159">
        <v>73</v>
      </c>
      <c r="GA159" t="s">
        <v>3</v>
      </c>
      <c r="GD159">
        <v>1</v>
      </c>
      <c r="GF159">
        <v>115911159</v>
      </c>
      <c r="GG159">
        <v>2</v>
      </c>
      <c r="GH159">
        <v>1</v>
      </c>
      <c r="GI159">
        <v>2</v>
      </c>
      <c r="GJ159">
        <v>0</v>
      </c>
      <c r="GK159">
        <v>0</v>
      </c>
      <c r="GL159">
        <f t="shared" ref="GL159:GL165" si="183">ROUND(IF(AND(BH159=3,BI159=3,FS159&lt;&gt;0),P159,0),2)</f>
        <v>0</v>
      </c>
      <c r="GM159">
        <f t="shared" ref="GM159:GM165" si="184">ROUND(O159+X159+Y159,2)+GX159</f>
        <v>655.82</v>
      </c>
      <c r="GN159">
        <f t="shared" ref="GN159:GN165" si="185">IF(OR(BI159=0,BI159=1),GM159-GX159,0)</f>
        <v>655.82</v>
      </c>
      <c r="GO159">
        <f t="shared" ref="GO159:GO165" si="186">IF(BI159=2,GM159-GX159,0)</f>
        <v>0</v>
      </c>
      <c r="GP159">
        <f t="shared" ref="GP159:GP165" si="187">IF(BI159=4,GM159-GX159,0)</f>
        <v>0</v>
      </c>
      <c r="GR159">
        <v>0</v>
      </c>
      <c r="GS159">
        <v>3</v>
      </c>
      <c r="GT159">
        <v>0</v>
      </c>
      <c r="GU159" t="s">
        <v>3</v>
      </c>
      <c r="GV159">
        <f t="shared" ref="GV159:GV165" si="188">ROUND((GT159),2)</f>
        <v>0</v>
      </c>
      <c r="GW159">
        <v>1</v>
      </c>
      <c r="GX159">
        <f t="shared" ref="GX159:GX165" si="189">ROUND(HC159*I159,2)</f>
        <v>0</v>
      </c>
      <c r="HA159">
        <v>0</v>
      </c>
      <c r="HB159">
        <v>0</v>
      </c>
      <c r="HC159">
        <f t="shared" ref="HC159:HC165" si="190">GV159*GW159</f>
        <v>0</v>
      </c>
      <c r="HE159" t="s">
        <v>3</v>
      </c>
      <c r="HF159" t="s">
        <v>3</v>
      </c>
      <c r="HM159" t="s">
        <v>3</v>
      </c>
      <c r="HN159" t="s">
        <v>62</v>
      </c>
      <c r="HO159" t="s">
        <v>63</v>
      </c>
      <c r="HP159" t="s">
        <v>60</v>
      </c>
      <c r="HQ159" t="s">
        <v>60</v>
      </c>
      <c r="IK159">
        <v>0</v>
      </c>
    </row>
    <row r="160" spans="1:245" x14ac:dyDescent="0.2">
      <c r="A160">
        <v>18</v>
      </c>
      <c r="B160">
        <v>1</v>
      </c>
      <c r="C160">
        <v>136</v>
      </c>
      <c r="E160" t="s">
        <v>265</v>
      </c>
      <c r="F160" t="s">
        <v>266</v>
      </c>
      <c r="G160" t="s">
        <v>267</v>
      </c>
      <c r="H160" t="s">
        <v>47</v>
      </c>
      <c r="I160">
        <f>I159*J160</f>
        <v>1</v>
      </c>
      <c r="J160">
        <v>100</v>
      </c>
      <c r="K160">
        <v>100</v>
      </c>
      <c r="O160">
        <f t="shared" si="159"/>
        <v>0</v>
      </c>
      <c r="P160">
        <f t="shared" si="160"/>
        <v>0</v>
      </c>
      <c r="Q160">
        <f t="shared" si="161"/>
        <v>0</v>
      </c>
      <c r="R160">
        <f t="shared" si="162"/>
        <v>0</v>
      </c>
      <c r="S160">
        <f t="shared" si="163"/>
        <v>0</v>
      </c>
      <c r="T160">
        <f t="shared" si="164"/>
        <v>0</v>
      </c>
      <c r="U160">
        <f t="shared" si="165"/>
        <v>0</v>
      </c>
      <c r="V160">
        <f t="shared" si="166"/>
        <v>0</v>
      </c>
      <c r="W160">
        <f t="shared" si="167"/>
        <v>0</v>
      </c>
      <c r="X160">
        <f t="shared" si="168"/>
        <v>0</v>
      </c>
      <c r="Y160">
        <f t="shared" si="168"/>
        <v>0</v>
      </c>
      <c r="AA160">
        <v>94798619</v>
      </c>
      <c r="AB160">
        <f t="shared" si="169"/>
        <v>0</v>
      </c>
      <c r="AC160">
        <f t="shared" si="170"/>
        <v>0</v>
      </c>
      <c r="AD160">
        <f t="shared" si="171"/>
        <v>0</v>
      </c>
      <c r="AE160">
        <f t="shared" si="172"/>
        <v>0</v>
      </c>
      <c r="AF160">
        <f t="shared" si="172"/>
        <v>0</v>
      </c>
      <c r="AG160">
        <f t="shared" si="173"/>
        <v>0</v>
      </c>
      <c r="AH160">
        <f t="shared" si="174"/>
        <v>0</v>
      </c>
      <c r="AI160">
        <f t="shared" si="174"/>
        <v>0</v>
      </c>
      <c r="AJ160">
        <f t="shared" si="175"/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110</v>
      </c>
      <c r="AU160">
        <v>73</v>
      </c>
      <c r="AV160">
        <v>1</v>
      </c>
      <c r="AW160">
        <v>1</v>
      </c>
      <c r="AZ160">
        <v>1</v>
      </c>
      <c r="BA160">
        <v>1</v>
      </c>
      <c r="BB160">
        <v>1</v>
      </c>
      <c r="BC160">
        <v>1</v>
      </c>
      <c r="BD160" t="s">
        <v>3</v>
      </c>
      <c r="BE160" t="s">
        <v>3</v>
      </c>
      <c r="BF160" t="s">
        <v>3</v>
      </c>
      <c r="BG160" t="s">
        <v>3</v>
      </c>
      <c r="BH160">
        <v>3</v>
      </c>
      <c r="BI160">
        <v>1</v>
      </c>
      <c r="BJ160" t="s">
        <v>268</v>
      </c>
      <c r="BM160">
        <v>7001</v>
      </c>
      <c r="BN160">
        <v>0</v>
      </c>
      <c r="BO160" t="s">
        <v>3</v>
      </c>
      <c r="BP160">
        <v>0</v>
      </c>
      <c r="BQ160">
        <v>2</v>
      </c>
      <c r="BR160">
        <v>0</v>
      </c>
      <c r="BS160">
        <v>1</v>
      </c>
      <c r="BT160">
        <v>1</v>
      </c>
      <c r="BU160">
        <v>1</v>
      </c>
      <c r="BV160">
        <v>1</v>
      </c>
      <c r="BW160">
        <v>1</v>
      </c>
      <c r="BX160">
        <v>1</v>
      </c>
      <c r="BY160" t="s">
        <v>3</v>
      </c>
      <c r="BZ160">
        <v>110</v>
      </c>
      <c r="CA160">
        <v>73</v>
      </c>
      <c r="CB160" t="s">
        <v>3</v>
      </c>
      <c r="CE160">
        <v>0</v>
      </c>
      <c r="CF160">
        <v>0</v>
      </c>
      <c r="CG160">
        <v>0</v>
      </c>
      <c r="CM160">
        <v>0</v>
      </c>
      <c r="CN160" t="s">
        <v>3</v>
      </c>
      <c r="CO160">
        <v>0</v>
      </c>
      <c r="CP160">
        <f t="shared" si="176"/>
        <v>0</v>
      </c>
      <c r="CQ160">
        <f t="shared" si="177"/>
        <v>0</v>
      </c>
      <c r="CR160">
        <f t="shared" si="178"/>
        <v>0</v>
      </c>
      <c r="CS160">
        <f t="shared" si="179"/>
        <v>0</v>
      </c>
      <c r="CT160">
        <f t="shared" si="180"/>
        <v>0</v>
      </c>
      <c r="CU160">
        <f t="shared" si="181"/>
        <v>0</v>
      </c>
      <c r="CV160">
        <f t="shared" si="181"/>
        <v>0</v>
      </c>
      <c r="CW160">
        <f t="shared" si="181"/>
        <v>0</v>
      </c>
      <c r="CX160">
        <f t="shared" si="181"/>
        <v>0</v>
      </c>
      <c r="CY160">
        <f>(((S160+R160)*AT160)/100)</f>
        <v>0</v>
      </c>
      <c r="CZ160">
        <f>(((S160+R160)*AU160)/100)</f>
        <v>0</v>
      </c>
      <c r="DC160" t="s">
        <v>3</v>
      </c>
      <c r="DD160" t="s">
        <v>3</v>
      </c>
      <c r="DE160" t="s">
        <v>3</v>
      </c>
      <c r="DF160" t="s">
        <v>3</v>
      </c>
      <c r="DG160" t="s">
        <v>3</v>
      </c>
      <c r="DH160" t="s">
        <v>3</v>
      </c>
      <c r="DI160" t="s">
        <v>3</v>
      </c>
      <c r="DJ160" t="s">
        <v>3</v>
      </c>
      <c r="DK160" t="s">
        <v>3</v>
      </c>
      <c r="DL160" t="s">
        <v>3</v>
      </c>
      <c r="DM160" t="s">
        <v>3</v>
      </c>
      <c r="DN160">
        <v>0</v>
      </c>
      <c r="DO160">
        <v>0</v>
      </c>
      <c r="DP160">
        <v>1</v>
      </c>
      <c r="DQ160">
        <v>1</v>
      </c>
      <c r="DU160">
        <v>1010</v>
      </c>
      <c r="DV160" t="s">
        <v>47</v>
      </c>
      <c r="DW160" t="s">
        <v>47</v>
      </c>
      <c r="DX160">
        <v>1</v>
      </c>
      <c r="DZ160" t="s">
        <v>3</v>
      </c>
      <c r="EA160" t="s">
        <v>3</v>
      </c>
      <c r="EB160" t="s">
        <v>3</v>
      </c>
      <c r="EC160" t="s">
        <v>3</v>
      </c>
      <c r="EE160">
        <v>92109389</v>
      </c>
      <c r="EF160">
        <v>2</v>
      </c>
      <c r="EG160" t="s">
        <v>21</v>
      </c>
      <c r="EH160">
        <v>7</v>
      </c>
      <c r="EI160" t="s">
        <v>60</v>
      </c>
      <c r="EJ160">
        <v>1</v>
      </c>
      <c r="EK160">
        <v>7001</v>
      </c>
      <c r="EL160" t="s">
        <v>60</v>
      </c>
      <c r="EM160" t="s">
        <v>61</v>
      </c>
      <c r="EO160" t="s">
        <v>3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FQ160">
        <v>0</v>
      </c>
      <c r="FR160">
        <f t="shared" si="182"/>
        <v>0</v>
      </c>
      <c r="FS160">
        <v>0</v>
      </c>
      <c r="FX160">
        <v>110</v>
      </c>
      <c r="FY160">
        <v>73</v>
      </c>
      <c r="GA160" t="s">
        <v>3</v>
      </c>
      <c r="GD160">
        <v>1</v>
      </c>
      <c r="GF160">
        <v>1701235747</v>
      </c>
      <c r="GG160">
        <v>2</v>
      </c>
      <c r="GH160">
        <v>1</v>
      </c>
      <c r="GI160">
        <v>-2</v>
      </c>
      <c r="GJ160">
        <v>0</v>
      </c>
      <c r="GK160">
        <v>0</v>
      </c>
      <c r="GL160">
        <f t="shared" si="183"/>
        <v>0</v>
      </c>
      <c r="GM160">
        <f t="shared" si="184"/>
        <v>0</v>
      </c>
      <c r="GN160">
        <f t="shared" si="185"/>
        <v>0</v>
      </c>
      <c r="GO160">
        <f t="shared" si="186"/>
        <v>0</v>
      </c>
      <c r="GP160">
        <f t="shared" si="187"/>
        <v>0</v>
      </c>
      <c r="GR160">
        <v>0</v>
      </c>
      <c r="GS160">
        <v>3</v>
      </c>
      <c r="GT160">
        <v>0</v>
      </c>
      <c r="GU160" t="s">
        <v>3</v>
      </c>
      <c r="GV160">
        <f t="shared" si="188"/>
        <v>0</v>
      </c>
      <c r="GW160">
        <v>1</v>
      </c>
      <c r="GX160">
        <f t="shared" si="189"/>
        <v>0</v>
      </c>
      <c r="HA160">
        <v>0</v>
      </c>
      <c r="HB160">
        <v>0</v>
      </c>
      <c r="HC160">
        <f t="shared" si="190"/>
        <v>0</v>
      </c>
      <c r="HE160" t="s">
        <v>3</v>
      </c>
      <c r="HF160" t="s">
        <v>3</v>
      </c>
      <c r="HM160" t="s">
        <v>3</v>
      </c>
      <c r="HN160" t="s">
        <v>62</v>
      </c>
      <c r="HO160" t="s">
        <v>63</v>
      </c>
      <c r="HP160" t="s">
        <v>60</v>
      </c>
      <c r="HQ160" t="s">
        <v>60</v>
      </c>
      <c r="IK160">
        <v>0</v>
      </c>
    </row>
    <row r="161" spans="1:245" x14ac:dyDescent="0.2">
      <c r="A161">
        <v>17</v>
      </c>
      <c r="B161">
        <v>1</v>
      </c>
      <c r="E161" t="s">
        <v>269</v>
      </c>
      <c r="F161" t="s">
        <v>270</v>
      </c>
      <c r="G161" t="s">
        <v>271</v>
      </c>
      <c r="H161" t="s">
        <v>201</v>
      </c>
      <c r="I161">
        <v>1.8</v>
      </c>
      <c r="J161">
        <v>0</v>
      </c>
      <c r="K161">
        <v>1.8</v>
      </c>
      <c r="O161">
        <f t="shared" si="159"/>
        <v>2781.42</v>
      </c>
      <c r="P161">
        <f t="shared" si="160"/>
        <v>2781.42</v>
      </c>
      <c r="Q161">
        <f t="shared" si="161"/>
        <v>0</v>
      </c>
      <c r="R161">
        <f t="shared" si="162"/>
        <v>0</v>
      </c>
      <c r="S161">
        <f t="shared" si="163"/>
        <v>0</v>
      </c>
      <c r="T161">
        <f t="shared" si="164"/>
        <v>0</v>
      </c>
      <c r="U161">
        <f t="shared" si="165"/>
        <v>0</v>
      </c>
      <c r="V161">
        <f t="shared" si="166"/>
        <v>0</v>
      </c>
      <c r="W161">
        <f t="shared" si="167"/>
        <v>0</v>
      </c>
      <c r="X161">
        <f t="shared" si="168"/>
        <v>0</v>
      </c>
      <c r="Y161">
        <f t="shared" si="168"/>
        <v>0</v>
      </c>
      <c r="AA161">
        <v>94798619</v>
      </c>
      <c r="AB161">
        <f t="shared" si="169"/>
        <v>178.64</v>
      </c>
      <c r="AC161">
        <f t="shared" si="170"/>
        <v>178.64</v>
      </c>
      <c r="AD161">
        <f t="shared" si="171"/>
        <v>0</v>
      </c>
      <c r="AE161">
        <f t="shared" si="172"/>
        <v>0</v>
      </c>
      <c r="AF161">
        <f t="shared" si="172"/>
        <v>0</v>
      </c>
      <c r="AG161">
        <f t="shared" si="173"/>
        <v>0</v>
      </c>
      <c r="AH161">
        <f t="shared" si="174"/>
        <v>0</v>
      </c>
      <c r="AI161">
        <f t="shared" si="174"/>
        <v>0</v>
      </c>
      <c r="AJ161">
        <f t="shared" si="175"/>
        <v>0</v>
      </c>
      <c r="AK161">
        <v>178.64</v>
      </c>
      <c r="AL161">
        <v>178.64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1</v>
      </c>
      <c r="AW161">
        <v>1</v>
      </c>
      <c r="AZ161">
        <v>1</v>
      </c>
      <c r="BA161">
        <v>1</v>
      </c>
      <c r="BB161">
        <v>1</v>
      </c>
      <c r="BC161">
        <v>8.65</v>
      </c>
      <c r="BD161" t="s">
        <v>3</v>
      </c>
      <c r="BE161" t="s">
        <v>3</v>
      </c>
      <c r="BF161" t="s">
        <v>3</v>
      </c>
      <c r="BG161" t="s">
        <v>3</v>
      </c>
      <c r="BH161">
        <v>3</v>
      </c>
      <c r="BI161">
        <v>1</v>
      </c>
      <c r="BJ161" t="s">
        <v>272</v>
      </c>
      <c r="BM161">
        <v>500001</v>
      </c>
      <c r="BN161">
        <v>0</v>
      </c>
      <c r="BO161" t="s">
        <v>270</v>
      </c>
      <c r="BP161">
        <v>1</v>
      </c>
      <c r="BQ161">
        <v>8</v>
      </c>
      <c r="BR161">
        <v>0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3</v>
      </c>
      <c r="BZ161">
        <v>0</v>
      </c>
      <c r="CA161">
        <v>0</v>
      </c>
      <c r="CB161" t="s">
        <v>3</v>
      </c>
      <c r="CE161">
        <v>0</v>
      </c>
      <c r="CF161">
        <v>0</v>
      </c>
      <c r="CG161">
        <v>0</v>
      </c>
      <c r="CM161">
        <v>0</v>
      </c>
      <c r="CN161" t="s">
        <v>3</v>
      </c>
      <c r="CO161">
        <v>0</v>
      </c>
      <c r="CP161">
        <f t="shared" si="176"/>
        <v>2781.42</v>
      </c>
      <c r="CQ161">
        <f t="shared" si="177"/>
        <v>1545.2359999999999</v>
      </c>
      <c r="CR161">
        <f t="shared" si="178"/>
        <v>0</v>
      </c>
      <c r="CS161">
        <f t="shared" si="179"/>
        <v>0</v>
      </c>
      <c r="CT161">
        <f t="shared" si="180"/>
        <v>0</v>
      </c>
      <c r="CU161">
        <f t="shared" si="181"/>
        <v>0</v>
      </c>
      <c r="CV161">
        <f t="shared" si="181"/>
        <v>0</v>
      </c>
      <c r="CW161">
        <f t="shared" si="181"/>
        <v>0</v>
      </c>
      <c r="CX161">
        <f t="shared" si="181"/>
        <v>0</v>
      </c>
      <c r="CY161">
        <f>0</f>
        <v>0</v>
      </c>
      <c r="CZ161">
        <f>0</f>
        <v>0</v>
      </c>
      <c r="DC161" t="s">
        <v>3</v>
      </c>
      <c r="DD161" t="s">
        <v>3</v>
      </c>
      <c r="DE161" t="s">
        <v>3</v>
      </c>
      <c r="DF161" t="s">
        <v>3</v>
      </c>
      <c r="DG161" t="s">
        <v>3</v>
      </c>
      <c r="DH161" t="s">
        <v>3</v>
      </c>
      <c r="DI161" t="s">
        <v>3</v>
      </c>
      <c r="DJ161" t="s">
        <v>3</v>
      </c>
      <c r="DK161" t="s">
        <v>3</v>
      </c>
      <c r="DL161" t="s">
        <v>3</v>
      </c>
      <c r="DM161" t="s">
        <v>3</v>
      </c>
      <c r="DN161">
        <v>0</v>
      </c>
      <c r="DO161">
        <v>0</v>
      </c>
      <c r="DP161">
        <v>1</v>
      </c>
      <c r="DQ161">
        <v>1</v>
      </c>
      <c r="DU161">
        <v>1005</v>
      </c>
      <c r="DV161" t="s">
        <v>201</v>
      </c>
      <c r="DW161" t="s">
        <v>201</v>
      </c>
      <c r="DX161">
        <v>1</v>
      </c>
      <c r="DZ161" t="s">
        <v>3</v>
      </c>
      <c r="EA161" t="s">
        <v>3</v>
      </c>
      <c r="EB161" t="s">
        <v>3</v>
      </c>
      <c r="EC161" t="s">
        <v>3</v>
      </c>
      <c r="EE161">
        <v>92109332</v>
      </c>
      <c r="EF161">
        <v>8</v>
      </c>
      <c r="EG161" t="s">
        <v>154</v>
      </c>
      <c r="EH161">
        <v>0</v>
      </c>
      <c r="EI161" t="s">
        <v>3</v>
      </c>
      <c r="EJ161">
        <v>1</v>
      </c>
      <c r="EK161">
        <v>500001</v>
      </c>
      <c r="EL161" t="s">
        <v>155</v>
      </c>
      <c r="EM161" t="s">
        <v>156</v>
      </c>
      <c r="EO161" t="s">
        <v>3</v>
      </c>
      <c r="EQ161">
        <v>0</v>
      </c>
      <c r="ER161">
        <v>178.64</v>
      </c>
      <c r="ES161">
        <v>178.64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FQ161">
        <v>0</v>
      </c>
      <c r="FR161">
        <f t="shared" si="182"/>
        <v>0</v>
      </c>
      <c r="FS161">
        <v>0</v>
      </c>
      <c r="FX161">
        <v>0</v>
      </c>
      <c r="FY161">
        <v>0</v>
      </c>
      <c r="GA161" t="s">
        <v>3</v>
      </c>
      <c r="GD161">
        <v>1</v>
      </c>
      <c r="GF161">
        <v>-455312434</v>
      </c>
      <c r="GG161">
        <v>2</v>
      </c>
      <c r="GH161">
        <v>1</v>
      </c>
      <c r="GI161">
        <v>2</v>
      </c>
      <c r="GJ161">
        <v>0</v>
      </c>
      <c r="GK161">
        <v>0</v>
      </c>
      <c r="GL161">
        <f t="shared" si="183"/>
        <v>0</v>
      </c>
      <c r="GM161">
        <f t="shared" si="184"/>
        <v>2781.42</v>
      </c>
      <c r="GN161">
        <f t="shared" si="185"/>
        <v>2781.42</v>
      </c>
      <c r="GO161">
        <f t="shared" si="186"/>
        <v>0</v>
      </c>
      <c r="GP161">
        <f t="shared" si="187"/>
        <v>0</v>
      </c>
      <c r="GR161">
        <v>0</v>
      </c>
      <c r="GS161">
        <v>3</v>
      </c>
      <c r="GT161">
        <v>0</v>
      </c>
      <c r="GU161" t="s">
        <v>3</v>
      </c>
      <c r="GV161">
        <f t="shared" si="188"/>
        <v>0</v>
      </c>
      <c r="GW161">
        <v>1</v>
      </c>
      <c r="GX161">
        <f t="shared" si="189"/>
        <v>0</v>
      </c>
      <c r="HA161">
        <v>0</v>
      </c>
      <c r="HB161">
        <v>0</v>
      </c>
      <c r="HC161">
        <f t="shared" si="190"/>
        <v>0</v>
      </c>
      <c r="HE161" t="s">
        <v>3</v>
      </c>
      <c r="HF161" t="s">
        <v>3</v>
      </c>
      <c r="HM161" t="s">
        <v>3</v>
      </c>
      <c r="HN161" t="s">
        <v>3</v>
      </c>
      <c r="HO161" t="s">
        <v>3</v>
      </c>
      <c r="HP161" t="s">
        <v>3</v>
      </c>
      <c r="HQ161" t="s">
        <v>3</v>
      </c>
      <c r="IK161">
        <v>0</v>
      </c>
    </row>
    <row r="162" spans="1:245" x14ac:dyDescent="0.2">
      <c r="A162">
        <v>17</v>
      </c>
      <c r="B162">
        <v>1</v>
      </c>
      <c r="E162" t="s">
        <v>273</v>
      </c>
      <c r="F162" t="s">
        <v>210</v>
      </c>
      <c r="G162" t="s">
        <v>274</v>
      </c>
      <c r="H162" t="s">
        <v>170</v>
      </c>
      <c r="I162">
        <v>5.9249999999999997E-3</v>
      </c>
      <c r="J162">
        <v>0</v>
      </c>
      <c r="K162">
        <v>5.9249999999999997E-3</v>
      </c>
      <c r="O162">
        <f t="shared" si="159"/>
        <v>677.79</v>
      </c>
      <c r="P162">
        <f t="shared" si="160"/>
        <v>677.79</v>
      </c>
      <c r="Q162">
        <f t="shared" si="161"/>
        <v>0</v>
      </c>
      <c r="R162">
        <f t="shared" si="162"/>
        <v>0</v>
      </c>
      <c r="S162">
        <f t="shared" si="163"/>
        <v>0</v>
      </c>
      <c r="T162">
        <f t="shared" si="164"/>
        <v>0</v>
      </c>
      <c r="U162">
        <f t="shared" si="165"/>
        <v>0</v>
      </c>
      <c r="V162">
        <f t="shared" si="166"/>
        <v>0</v>
      </c>
      <c r="W162">
        <f t="shared" si="167"/>
        <v>0</v>
      </c>
      <c r="X162">
        <f t="shared" si="168"/>
        <v>0</v>
      </c>
      <c r="Y162">
        <f t="shared" si="168"/>
        <v>0</v>
      </c>
      <c r="AA162">
        <v>94798619</v>
      </c>
      <c r="AB162">
        <f t="shared" si="169"/>
        <v>11315</v>
      </c>
      <c r="AC162">
        <f t="shared" si="170"/>
        <v>11315</v>
      </c>
      <c r="AD162">
        <f t="shared" si="171"/>
        <v>0</v>
      </c>
      <c r="AE162">
        <f t="shared" si="172"/>
        <v>0</v>
      </c>
      <c r="AF162">
        <f t="shared" si="172"/>
        <v>0</v>
      </c>
      <c r="AG162">
        <f t="shared" si="173"/>
        <v>0</v>
      </c>
      <c r="AH162">
        <f t="shared" si="174"/>
        <v>0</v>
      </c>
      <c r="AI162">
        <f t="shared" si="174"/>
        <v>0</v>
      </c>
      <c r="AJ162">
        <f t="shared" si="175"/>
        <v>0</v>
      </c>
      <c r="AK162">
        <v>11315</v>
      </c>
      <c r="AL162">
        <v>11315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1</v>
      </c>
      <c r="AW162">
        <v>1</v>
      </c>
      <c r="AZ162">
        <v>1</v>
      </c>
      <c r="BA162">
        <v>1</v>
      </c>
      <c r="BB162">
        <v>1</v>
      </c>
      <c r="BC162">
        <v>10.11</v>
      </c>
      <c r="BD162" t="s">
        <v>3</v>
      </c>
      <c r="BE162" t="s">
        <v>3</v>
      </c>
      <c r="BF162" t="s">
        <v>3</v>
      </c>
      <c r="BG162" t="s">
        <v>3</v>
      </c>
      <c r="BH162">
        <v>3</v>
      </c>
      <c r="BI162">
        <v>1</v>
      </c>
      <c r="BJ162" t="s">
        <v>212</v>
      </c>
      <c r="BM162">
        <v>500001</v>
      </c>
      <c r="BN162">
        <v>0</v>
      </c>
      <c r="BO162" t="s">
        <v>210</v>
      </c>
      <c r="BP162">
        <v>1</v>
      </c>
      <c r="BQ162">
        <v>8</v>
      </c>
      <c r="BR162">
        <v>0</v>
      </c>
      <c r="BS162">
        <v>1</v>
      </c>
      <c r="BT162">
        <v>1</v>
      </c>
      <c r="BU162">
        <v>1</v>
      </c>
      <c r="BV162">
        <v>1</v>
      </c>
      <c r="BW162">
        <v>1</v>
      </c>
      <c r="BX162">
        <v>1</v>
      </c>
      <c r="BY162" t="s">
        <v>3</v>
      </c>
      <c r="BZ162">
        <v>0</v>
      </c>
      <c r="CA162">
        <v>0</v>
      </c>
      <c r="CB162" t="s">
        <v>3</v>
      </c>
      <c r="CE162">
        <v>0</v>
      </c>
      <c r="CF162">
        <v>0</v>
      </c>
      <c r="CG162">
        <v>0</v>
      </c>
      <c r="CM162">
        <v>0</v>
      </c>
      <c r="CN162" t="s">
        <v>3</v>
      </c>
      <c r="CO162">
        <v>0</v>
      </c>
      <c r="CP162">
        <f t="shared" si="176"/>
        <v>677.79</v>
      </c>
      <c r="CQ162">
        <f t="shared" si="177"/>
        <v>114394.65</v>
      </c>
      <c r="CR162">
        <f t="shared" si="178"/>
        <v>0</v>
      </c>
      <c r="CS162">
        <f t="shared" si="179"/>
        <v>0</v>
      </c>
      <c r="CT162">
        <f t="shared" si="180"/>
        <v>0</v>
      </c>
      <c r="CU162">
        <f t="shared" si="181"/>
        <v>0</v>
      </c>
      <c r="CV162">
        <f t="shared" si="181"/>
        <v>0</v>
      </c>
      <c r="CW162">
        <f t="shared" si="181"/>
        <v>0</v>
      </c>
      <c r="CX162">
        <f t="shared" si="181"/>
        <v>0</v>
      </c>
      <c r="CY162">
        <f>0</f>
        <v>0</v>
      </c>
      <c r="CZ162">
        <f>0</f>
        <v>0</v>
      </c>
      <c r="DC162" t="s">
        <v>3</v>
      </c>
      <c r="DD162" t="s">
        <v>3</v>
      </c>
      <c r="DE162" t="s">
        <v>3</v>
      </c>
      <c r="DF162" t="s">
        <v>3</v>
      </c>
      <c r="DG162" t="s">
        <v>3</v>
      </c>
      <c r="DH162" t="s">
        <v>3</v>
      </c>
      <c r="DI162" t="s">
        <v>3</v>
      </c>
      <c r="DJ162" t="s">
        <v>3</v>
      </c>
      <c r="DK162" t="s">
        <v>3</v>
      </c>
      <c r="DL162" t="s">
        <v>3</v>
      </c>
      <c r="DM162" t="s">
        <v>3</v>
      </c>
      <c r="DN162">
        <v>0</v>
      </c>
      <c r="DO162">
        <v>0</v>
      </c>
      <c r="DP162">
        <v>1</v>
      </c>
      <c r="DQ162">
        <v>1</v>
      </c>
      <c r="DU162">
        <v>1009</v>
      </c>
      <c r="DV162" t="s">
        <v>170</v>
      </c>
      <c r="DW162" t="s">
        <v>170</v>
      </c>
      <c r="DX162">
        <v>1000</v>
      </c>
      <c r="DZ162" t="s">
        <v>3</v>
      </c>
      <c r="EA162" t="s">
        <v>3</v>
      </c>
      <c r="EB162" t="s">
        <v>3</v>
      </c>
      <c r="EC162" t="s">
        <v>3</v>
      </c>
      <c r="EE162">
        <v>92109332</v>
      </c>
      <c r="EF162">
        <v>8</v>
      </c>
      <c r="EG162" t="s">
        <v>154</v>
      </c>
      <c r="EH162">
        <v>0</v>
      </c>
      <c r="EI162" t="s">
        <v>3</v>
      </c>
      <c r="EJ162">
        <v>1</v>
      </c>
      <c r="EK162">
        <v>500001</v>
      </c>
      <c r="EL162" t="s">
        <v>155</v>
      </c>
      <c r="EM162" t="s">
        <v>156</v>
      </c>
      <c r="EO162" t="s">
        <v>3</v>
      </c>
      <c r="EQ162">
        <v>0</v>
      </c>
      <c r="ER162">
        <v>11315</v>
      </c>
      <c r="ES162">
        <v>11315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FQ162">
        <v>0</v>
      </c>
      <c r="FR162">
        <f t="shared" si="182"/>
        <v>0</v>
      </c>
      <c r="FS162">
        <v>0</v>
      </c>
      <c r="FX162">
        <v>0</v>
      </c>
      <c r="FY162">
        <v>0</v>
      </c>
      <c r="GA162" t="s">
        <v>3</v>
      </c>
      <c r="GD162">
        <v>1</v>
      </c>
      <c r="GF162">
        <v>-617496873</v>
      </c>
      <c r="GG162">
        <v>2</v>
      </c>
      <c r="GH162">
        <v>1</v>
      </c>
      <c r="GI162">
        <v>2</v>
      </c>
      <c r="GJ162">
        <v>0</v>
      </c>
      <c r="GK162">
        <v>0</v>
      </c>
      <c r="GL162">
        <f t="shared" si="183"/>
        <v>0</v>
      </c>
      <c r="GM162">
        <f t="shared" si="184"/>
        <v>677.79</v>
      </c>
      <c r="GN162">
        <f t="shared" si="185"/>
        <v>677.79</v>
      </c>
      <c r="GO162">
        <f t="shared" si="186"/>
        <v>0</v>
      </c>
      <c r="GP162">
        <f t="shared" si="187"/>
        <v>0</v>
      </c>
      <c r="GR162">
        <v>0</v>
      </c>
      <c r="GS162">
        <v>3</v>
      </c>
      <c r="GT162">
        <v>0</v>
      </c>
      <c r="GU162" t="s">
        <v>3</v>
      </c>
      <c r="GV162">
        <f t="shared" si="188"/>
        <v>0</v>
      </c>
      <c r="GW162">
        <v>1</v>
      </c>
      <c r="GX162">
        <f t="shared" si="189"/>
        <v>0</v>
      </c>
      <c r="HA162">
        <v>0</v>
      </c>
      <c r="HB162">
        <v>0</v>
      </c>
      <c r="HC162">
        <f t="shared" si="190"/>
        <v>0</v>
      </c>
      <c r="HE162" t="s">
        <v>3</v>
      </c>
      <c r="HF162" t="s">
        <v>3</v>
      </c>
      <c r="HM162" t="s">
        <v>3</v>
      </c>
      <c r="HN162" t="s">
        <v>3</v>
      </c>
      <c r="HO162" t="s">
        <v>3</v>
      </c>
      <c r="HP162" t="s">
        <v>3</v>
      </c>
      <c r="HQ162" t="s">
        <v>3</v>
      </c>
      <c r="IK162">
        <v>0</v>
      </c>
    </row>
    <row r="163" spans="1:245" x14ac:dyDescent="0.2">
      <c r="A163">
        <v>17</v>
      </c>
      <c r="B163">
        <v>1</v>
      </c>
      <c r="E163" t="s">
        <v>275</v>
      </c>
      <c r="F163" t="s">
        <v>276</v>
      </c>
      <c r="G163" t="s">
        <v>277</v>
      </c>
      <c r="H163" t="s">
        <v>47</v>
      </c>
      <c r="I163">
        <v>6</v>
      </c>
      <c r="J163">
        <v>0</v>
      </c>
      <c r="K163">
        <v>6</v>
      </c>
      <c r="O163">
        <f t="shared" si="159"/>
        <v>469.4</v>
      </c>
      <c r="P163">
        <f t="shared" si="160"/>
        <v>469.4</v>
      </c>
      <c r="Q163">
        <f t="shared" si="161"/>
        <v>0</v>
      </c>
      <c r="R163">
        <f t="shared" si="162"/>
        <v>0</v>
      </c>
      <c r="S163">
        <f t="shared" si="163"/>
        <v>0</v>
      </c>
      <c r="T163">
        <f t="shared" si="164"/>
        <v>0</v>
      </c>
      <c r="U163">
        <f t="shared" si="165"/>
        <v>0</v>
      </c>
      <c r="V163">
        <f t="shared" si="166"/>
        <v>0</v>
      </c>
      <c r="W163">
        <f t="shared" si="167"/>
        <v>0</v>
      </c>
      <c r="X163">
        <f t="shared" si="168"/>
        <v>0</v>
      </c>
      <c r="Y163">
        <f t="shared" si="168"/>
        <v>0</v>
      </c>
      <c r="AA163">
        <v>94798619</v>
      </c>
      <c r="AB163">
        <f t="shared" si="169"/>
        <v>8.82</v>
      </c>
      <c r="AC163">
        <f t="shared" si="170"/>
        <v>8.82</v>
      </c>
      <c r="AD163">
        <f t="shared" si="171"/>
        <v>0</v>
      </c>
      <c r="AE163">
        <f t="shared" si="172"/>
        <v>0</v>
      </c>
      <c r="AF163">
        <f t="shared" si="172"/>
        <v>0</v>
      </c>
      <c r="AG163">
        <f t="shared" si="173"/>
        <v>0</v>
      </c>
      <c r="AH163">
        <f t="shared" si="174"/>
        <v>0</v>
      </c>
      <c r="AI163">
        <f t="shared" si="174"/>
        <v>0</v>
      </c>
      <c r="AJ163">
        <f t="shared" si="175"/>
        <v>0</v>
      </c>
      <c r="AK163">
        <v>8.82</v>
      </c>
      <c r="AL163">
        <v>8.82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</v>
      </c>
      <c r="AW163">
        <v>1</v>
      </c>
      <c r="AZ163">
        <v>1</v>
      </c>
      <c r="BA163">
        <v>1</v>
      </c>
      <c r="BB163">
        <v>1</v>
      </c>
      <c r="BC163">
        <v>8.8699999999999992</v>
      </c>
      <c r="BD163" t="s">
        <v>3</v>
      </c>
      <c r="BE163" t="s">
        <v>3</v>
      </c>
      <c r="BF163" t="s">
        <v>3</v>
      </c>
      <c r="BG163" t="s">
        <v>3</v>
      </c>
      <c r="BH163">
        <v>3</v>
      </c>
      <c r="BI163">
        <v>2</v>
      </c>
      <c r="BJ163" t="s">
        <v>278</v>
      </c>
      <c r="BM163">
        <v>500002</v>
      </c>
      <c r="BN163">
        <v>0</v>
      </c>
      <c r="BO163" t="s">
        <v>276</v>
      </c>
      <c r="BP163">
        <v>1</v>
      </c>
      <c r="BQ163">
        <v>12</v>
      </c>
      <c r="BR163">
        <v>0</v>
      </c>
      <c r="BS163">
        <v>1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3</v>
      </c>
      <c r="BZ163">
        <v>0</v>
      </c>
      <c r="CA163">
        <v>0</v>
      </c>
      <c r="CB163" t="s">
        <v>3</v>
      </c>
      <c r="CE163">
        <v>0</v>
      </c>
      <c r="CF163">
        <v>0</v>
      </c>
      <c r="CG163">
        <v>0</v>
      </c>
      <c r="CM163">
        <v>0</v>
      </c>
      <c r="CN163" t="s">
        <v>3</v>
      </c>
      <c r="CO163">
        <v>0</v>
      </c>
      <c r="CP163">
        <f t="shared" si="176"/>
        <v>469.4</v>
      </c>
      <c r="CQ163">
        <f t="shared" si="177"/>
        <v>78.233399999999989</v>
      </c>
      <c r="CR163">
        <f t="shared" si="178"/>
        <v>0</v>
      </c>
      <c r="CS163">
        <f t="shared" si="179"/>
        <v>0</v>
      </c>
      <c r="CT163">
        <f t="shared" si="180"/>
        <v>0</v>
      </c>
      <c r="CU163">
        <f t="shared" si="181"/>
        <v>0</v>
      </c>
      <c r="CV163">
        <f t="shared" si="181"/>
        <v>0</v>
      </c>
      <c r="CW163">
        <f t="shared" si="181"/>
        <v>0</v>
      </c>
      <c r="CX163">
        <f t="shared" si="181"/>
        <v>0</v>
      </c>
      <c r="CY163">
        <f>0</f>
        <v>0</v>
      </c>
      <c r="CZ163">
        <f>0</f>
        <v>0</v>
      </c>
      <c r="DC163" t="s">
        <v>3</v>
      </c>
      <c r="DD163" t="s">
        <v>3</v>
      </c>
      <c r="DE163" t="s">
        <v>3</v>
      </c>
      <c r="DF163" t="s">
        <v>3</v>
      </c>
      <c r="DG163" t="s">
        <v>3</v>
      </c>
      <c r="DH163" t="s">
        <v>3</v>
      </c>
      <c r="DI163" t="s">
        <v>3</v>
      </c>
      <c r="DJ163" t="s">
        <v>3</v>
      </c>
      <c r="DK163" t="s">
        <v>3</v>
      </c>
      <c r="DL163" t="s">
        <v>3</v>
      </c>
      <c r="DM163" t="s">
        <v>3</v>
      </c>
      <c r="DN163">
        <v>0</v>
      </c>
      <c r="DO163">
        <v>0</v>
      </c>
      <c r="DP163">
        <v>1</v>
      </c>
      <c r="DQ163">
        <v>1</v>
      </c>
      <c r="DU163">
        <v>1010</v>
      </c>
      <c r="DV163" t="s">
        <v>47</v>
      </c>
      <c r="DW163" t="s">
        <v>47</v>
      </c>
      <c r="DX163">
        <v>1</v>
      </c>
      <c r="DZ163" t="s">
        <v>3</v>
      </c>
      <c r="EA163" t="s">
        <v>3</v>
      </c>
      <c r="EB163" t="s">
        <v>3</v>
      </c>
      <c r="EC163" t="s">
        <v>3</v>
      </c>
      <c r="EE163">
        <v>92109333</v>
      </c>
      <c r="EF163">
        <v>12</v>
      </c>
      <c r="EG163" t="s">
        <v>279</v>
      </c>
      <c r="EH163">
        <v>0</v>
      </c>
      <c r="EI163" t="s">
        <v>3</v>
      </c>
      <c r="EJ163">
        <v>2</v>
      </c>
      <c r="EK163">
        <v>500002</v>
      </c>
      <c r="EL163" t="s">
        <v>280</v>
      </c>
      <c r="EM163" t="s">
        <v>281</v>
      </c>
      <c r="EO163" t="s">
        <v>3</v>
      </c>
      <c r="EQ163">
        <v>0</v>
      </c>
      <c r="ER163">
        <v>8.82</v>
      </c>
      <c r="ES163">
        <v>8.82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FQ163">
        <v>0</v>
      </c>
      <c r="FR163">
        <f t="shared" si="182"/>
        <v>0</v>
      </c>
      <c r="FS163">
        <v>0</v>
      </c>
      <c r="FX163">
        <v>0</v>
      </c>
      <c r="FY163">
        <v>0</v>
      </c>
      <c r="GA163" t="s">
        <v>3</v>
      </c>
      <c r="GD163">
        <v>1</v>
      </c>
      <c r="GF163">
        <v>-1668647201</v>
      </c>
      <c r="GG163">
        <v>2</v>
      </c>
      <c r="GH163">
        <v>1</v>
      </c>
      <c r="GI163">
        <v>2</v>
      </c>
      <c r="GJ163">
        <v>0</v>
      </c>
      <c r="GK163">
        <v>0</v>
      </c>
      <c r="GL163">
        <f t="shared" si="183"/>
        <v>0</v>
      </c>
      <c r="GM163">
        <f t="shared" si="184"/>
        <v>469.4</v>
      </c>
      <c r="GN163">
        <f t="shared" si="185"/>
        <v>0</v>
      </c>
      <c r="GO163">
        <f t="shared" si="186"/>
        <v>469.4</v>
      </c>
      <c r="GP163">
        <f t="shared" si="187"/>
        <v>0</v>
      </c>
      <c r="GR163">
        <v>0</v>
      </c>
      <c r="GS163">
        <v>3</v>
      </c>
      <c r="GT163">
        <v>0</v>
      </c>
      <c r="GU163" t="s">
        <v>3</v>
      </c>
      <c r="GV163">
        <f t="shared" si="188"/>
        <v>0</v>
      </c>
      <c r="GW163">
        <v>1</v>
      </c>
      <c r="GX163">
        <f t="shared" si="189"/>
        <v>0</v>
      </c>
      <c r="HA163">
        <v>0</v>
      </c>
      <c r="HB163">
        <v>0</v>
      </c>
      <c r="HC163">
        <f t="shared" si="190"/>
        <v>0</v>
      </c>
      <c r="HE163" t="s">
        <v>3</v>
      </c>
      <c r="HF163" t="s">
        <v>3</v>
      </c>
      <c r="HM163" t="s">
        <v>3</v>
      </c>
      <c r="HN163" t="s">
        <v>3</v>
      </c>
      <c r="HO163" t="s">
        <v>3</v>
      </c>
      <c r="HP163" t="s">
        <v>3</v>
      </c>
      <c r="HQ163" t="s">
        <v>3</v>
      </c>
      <c r="IK163">
        <v>0</v>
      </c>
    </row>
    <row r="164" spans="1:245" x14ac:dyDescent="0.2">
      <c r="A164">
        <v>17</v>
      </c>
      <c r="B164">
        <v>1</v>
      </c>
      <c r="E164" t="s">
        <v>282</v>
      </c>
      <c r="F164" t="s">
        <v>283</v>
      </c>
      <c r="G164" t="s">
        <v>284</v>
      </c>
      <c r="H164" t="s">
        <v>47</v>
      </c>
      <c r="I164">
        <v>2</v>
      </c>
      <c r="J164">
        <v>0</v>
      </c>
      <c r="K164">
        <v>2</v>
      </c>
      <c r="O164">
        <f t="shared" si="159"/>
        <v>224.88</v>
      </c>
      <c r="P164">
        <f t="shared" si="160"/>
        <v>224.88</v>
      </c>
      <c r="Q164">
        <f t="shared" si="161"/>
        <v>0</v>
      </c>
      <c r="R164">
        <f t="shared" si="162"/>
        <v>0</v>
      </c>
      <c r="S164">
        <f t="shared" si="163"/>
        <v>0</v>
      </c>
      <c r="T164">
        <f t="shared" si="164"/>
        <v>0</v>
      </c>
      <c r="U164">
        <f t="shared" si="165"/>
        <v>0</v>
      </c>
      <c r="V164">
        <f t="shared" si="166"/>
        <v>0</v>
      </c>
      <c r="W164">
        <f t="shared" si="167"/>
        <v>0</v>
      </c>
      <c r="X164">
        <f t="shared" si="168"/>
        <v>0</v>
      </c>
      <c r="Y164">
        <f t="shared" si="168"/>
        <v>0</v>
      </c>
      <c r="AA164">
        <v>94798619</v>
      </c>
      <c r="AB164">
        <f t="shared" si="169"/>
        <v>12</v>
      </c>
      <c r="AC164">
        <f t="shared" si="170"/>
        <v>12</v>
      </c>
      <c r="AD164">
        <f t="shared" si="171"/>
        <v>0</v>
      </c>
      <c r="AE164">
        <f t="shared" si="172"/>
        <v>0</v>
      </c>
      <c r="AF164">
        <f t="shared" si="172"/>
        <v>0</v>
      </c>
      <c r="AG164">
        <f t="shared" si="173"/>
        <v>0</v>
      </c>
      <c r="AH164">
        <f t="shared" si="174"/>
        <v>0</v>
      </c>
      <c r="AI164">
        <f t="shared" si="174"/>
        <v>0</v>
      </c>
      <c r="AJ164">
        <f t="shared" si="175"/>
        <v>0</v>
      </c>
      <c r="AK164">
        <v>12</v>
      </c>
      <c r="AL164">
        <v>12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1</v>
      </c>
      <c r="AW164">
        <v>1</v>
      </c>
      <c r="AZ164">
        <v>1</v>
      </c>
      <c r="BA164">
        <v>1</v>
      </c>
      <c r="BB164">
        <v>1</v>
      </c>
      <c r="BC164">
        <v>9.3699999999999992</v>
      </c>
      <c r="BD164" t="s">
        <v>3</v>
      </c>
      <c r="BE164" t="s">
        <v>3</v>
      </c>
      <c r="BF164" t="s">
        <v>3</v>
      </c>
      <c r="BG164" t="s">
        <v>3</v>
      </c>
      <c r="BH164">
        <v>3</v>
      </c>
      <c r="BI164">
        <v>1</v>
      </c>
      <c r="BJ164" t="s">
        <v>285</v>
      </c>
      <c r="BM164">
        <v>500001</v>
      </c>
      <c r="BN164">
        <v>0</v>
      </c>
      <c r="BO164" t="s">
        <v>283</v>
      </c>
      <c r="BP164">
        <v>1</v>
      </c>
      <c r="BQ164">
        <v>8</v>
      </c>
      <c r="BR164">
        <v>0</v>
      </c>
      <c r="BS164">
        <v>1</v>
      </c>
      <c r="BT164">
        <v>1</v>
      </c>
      <c r="BU164">
        <v>1</v>
      </c>
      <c r="BV164">
        <v>1</v>
      </c>
      <c r="BW164">
        <v>1</v>
      </c>
      <c r="BX164">
        <v>1</v>
      </c>
      <c r="BY164" t="s">
        <v>3</v>
      </c>
      <c r="BZ164">
        <v>0</v>
      </c>
      <c r="CA164">
        <v>0</v>
      </c>
      <c r="CB164" t="s">
        <v>3</v>
      </c>
      <c r="CE164">
        <v>0</v>
      </c>
      <c r="CF164">
        <v>0</v>
      </c>
      <c r="CG164">
        <v>0</v>
      </c>
      <c r="CM164">
        <v>0</v>
      </c>
      <c r="CN164" t="s">
        <v>3</v>
      </c>
      <c r="CO164">
        <v>0</v>
      </c>
      <c r="CP164">
        <f t="shared" si="176"/>
        <v>224.88</v>
      </c>
      <c r="CQ164">
        <f t="shared" si="177"/>
        <v>112.44</v>
      </c>
      <c r="CR164">
        <f t="shared" si="178"/>
        <v>0</v>
      </c>
      <c r="CS164">
        <f t="shared" si="179"/>
        <v>0</v>
      </c>
      <c r="CT164">
        <f t="shared" si="180"/>
        <v>0</v>
      </c>
      <c r="CU164">
        <f t="shared" si="181"/>
        <v>0</v>
      </c>
      <c r="CV164">
        <f t="shared" si="181"/>
        <v>0</v>
      </c>
      <c r="CW164">
        <f t="shared" si="181"/>
        <v>0</v>
      </c>
      <c r="CX164">
        <f t="shared" si="181"/>
        <v>0</v>
      </c>
      <c r="CY164">
        <f>0</f>
        <v>0</v>
      </c>
      <c r="CZ164">
        <f>0</f>
        <v>0</v>
      </c>
      <c r="DC164" t="s">
        <v>3</v>
      </c>
      <c r="DD164" t="s">
        <v>3</v>
      </c>
      <c r="DE164" t="s">
        <v>3</v>
      </c>
      <c r="DF164" t="s">
        <v>3</v>
      </c>
      <c r="DG164" t="s">
        <v>3</v>
      </c>
      <c r="DH164" t="s">
        <v>3</v>
      </c>
      <c r="DI164" t="s">
        <v>3</v>
      </c>
      <c r="DJ164" t="s">
        <v>3</v>
      </c>
      <c r="DK164" t="s">
        <v>3</v>
      </c>
      <c r="DL164" t="s">
        <v>3</v>
      </c>
      <c r="DM164" t="s">
        <v>3</v>
      </c>
      <c r="DN164">
        <v>0</v>
      </c>
      <c r="DO164">
        <v>0</v>
      </c>
      <c r="DP164">
        <v>1</v>
      </c>
      <c r="DQ164">
        <v>1</v>
      </c>
      <c r="DU164">
        <v>1010</v>
      </c>
      <c r="DV164" t="s">
        <v>47</v>
      </c>
      <c r="DW164" t="s">
        <v>47</v>
      </c>
      <c r="DX164">
        <v>1</v>
      </c>
      <c r="DZ164" t="s">
        <v>3</v>
      </c>
      <c r="EA164" t="s">
        <v>3</v>
      </c>
      <c r="EB164" t="s">
        <v>3</v>
      </c>
      <c r="EC164" t="s">
        <v>3</v>
      </c>
      <c r="EE164">
        <v>92109332</v>
      </c>
      <c r="EF164">
        <v>8</v>
      </c>
      <c r="EG164" t="s">
        <v>154</v>
      </c>
      <c r="EH164">
        <v>0</v>
      </c>
      <c r="EI164" t="s">
        <v>3</v>
      </c>
      <c r="EJ164">
        <v>1</v>
      </c>
      <c r="EK164">
        <v>500001</v>
      </c>
      <c r="EL164" t="s">
        <v>155</v>
      </c>
      <c r="EM164" t="s">
        <v>156</v>
      </c>
      <c r="EO164" t="s">
        <v>3</v>
      </c>
      <c r="EQ164">
        <v>0</v>
      </c>
      <c r="ER164">
        <v>12</v>
      </c>
      <c r="ES164">
        <v>12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FQ164">
        <v>0</v>
      </c>
      <c r="FR164">
        <f t="shared" si="182"/>
        <v>0</v>
      </c>
      <c r="FS164">
        <v>0</v>
      </c>
      <c r="FX164">
        <v>0</v>
      </c>
      <c r="FY164">
        <v>0</v>
      </c>
      <c r="GA164" t="s">
        <v>3</v>
      </c>
      <c r="GD164">
        <v>1</v>
      </c>
      <c r="GF164">
        <v>-1107254297</v>
      </c>
      <c r="GG164">
        <v>2</v>
      </c>
      <c r="GH164">
        <v>1</v>
      </c>
      <c r="GI164">
        <v>2</v>
      </c>
      <c r="GJ164">
        <v>0</v>
      </c>
      <c r="GK164">
        <v>0</v>
      </c>
      <c r="GL164">
        <f t="shared" si="183"/>
        <v>0</v>
      </c>
      <c r="GM164">
        <f t="shared" si="184"/>
        <v>224.88</v>
      </c>
      <c r="GN164">
        <f t="shared" si="185"/>
        <v>224.88</v>
      </c>
      <c r="GO164">
        <f t="shared" si="186"/>
        <v>0</v>
      </c>
      <c r="GP164">
        <f t="shared" si="187"/>
        <v>0</v>
      </c>
      <c r="GR164">
        <v>0</v>
      </c>
      <c r="GS164">
        <v>3</v>
      </c>
      <c r="GT164">
        <v>0</v>
      </c>
      <c r="GU164" t="s">
        <v>3</v>
      </c>
      <c r="GV164">
        <f t="shared" si="188"/>
        <v>0</v>
      </c>
      <c r="GW164">
        <v>1</v>
      </c>
      <c r="GX164">
        <f t="shared" si="189"/>
        <v>0</v>
      </c>
      <c r="HA164">
        <v>0</v>
      </c>
      <c r="HB164">
        <v>0</v>
      </c>
      <c r="HC164">
        <f t="shared" si="190"/>
        <v>0</v>
      </c>
      <c r="HE164" t="s">
        <v>3</v>
      </c>
      <c r="HF164" t="s">
        <v>3</v>
      </c>
      <c r="HM164" t="s">
        <v>3</v>
      </c>
      <c r="HN164" t="s">
        <v>3</v>
      </c>
      <c r="HO164" t="s">
        <v>3</v>
      </c>
      <c r="HP164" t="s">
        <v>3</v>
      </c>
      <c r="HQ164" t="s">
        <v>3</v>
      </c>
      <c r="IK164">
        <v>0</v>
      </c>
    </row>
    <row r="165" spans="1:245" x14ac:dyDescent="0.2">
      <c r="A165">
        <v>17</v>
      </c>
      <c r="B165">
        <v>1</v>
      </c>
      <c r="E165" t="s">
        <v>286</v>
      </c>
      <c r="F165" t="s">
        <v>287</v>
      </c>
      <c r="G165" t="s">
        <v>288</v>
      </c>
      <c r="H165" t="s">
        <v>289</v>
      </c>
      <c r="I165">
        <v>1</v>
      </c>
      <c r="J165">
        <v>0</v>
      </c>
      <c r="K165">
        <v>1</v>
      </c>
      <c r="O165">
        <f t="shared" si="159"/>
        <v>398.64</v>
      </c>
      <c r="P165">
        <f t="shared" si="160"/>
        <v>398.64</v>
      </c>
      <c r="Q165">
        <f t="shared" si="161"/>
        <v>0</v>
      </c>
      <c r="R165">
        <f t="shared" si="162"/>
        <v>0</v>
      </c>
      <c r="S165">
        <f t="shared" si="163"/>
        <v>0</v>
      </c>
      <c r="T165">
        <f t="shared" si="164"/>
        <v>0</v>
      </c>
      <c r="U165">
        <f t="shared" si="165"/>
        <v>0</v>
      </c>
      <c r="V165">
        <f t="shared" si="166"/>
        <v>0</v>
      </c>
      <c r="W165">
        <f t="shared" si="167"/>
        <v>0</v>
      </c>
      <c r="X165">
        <f t="shared" si="168"/>
        <v>0</v>
      </c>
      <c r="Y165">
        <f t="shared" si="168"/>
        <v>0</v>
      </c>
      <c r="AA165">
        <v>94798619</v>
      </c>
      <c r="AB165">
        <f t="shared" si="169"/>
        <v>33</v>
      </c>
      <c r="AC165">
        <f t="shared" si="170"/>
        <v>33</v>
      </c>
      <c r="AD165">
        <f t="shared" si="171"/>
        <v>0</v>
      </c>
      <c r="AE165">
        <f t="shared" si="172"/>
        <v>0</v>
      </c>
      <c r="AF165">
        <f t="shared" si="172"/>
        <v>0</v>
      </c>
      <c r="AG165">
        <f t="shared" si="173"/>
        <v>0</v>
      </c>
      <c r="AH165">
        <f t="shared" si="174"/>
        <v>0</v>
      </c>
      <c r="AI165">
        <f t="shared" si="174"/>
        <v>0</v>
      </c>
      <c r="AJ165">
        <f t="shared" si="175"/>
        <v>0</v>
      </c>
      <c r="AK165">
        <v>33</v>
      </c>
      <c r="AL165">
        <v>33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</v>
      </c>
      <c r="AW165">
        <v>1</v>
      </c>
      <c r="AZ165">
        <v>1</v>
      </c>
      <c r="BA165">
        <v>1</v>
      </c>
      <c r="BB165">
        <v>1</v>
      </c>
      <c r="BC165">
        <v>12.08</v>
      </c>
      <c r="BD165" t="s">
        <v>3</v>
      </c>
      <c r="BE165" t="s">
        <v>3</v>
      </c>
      <c r="BF165" t="s">
        <v>3</v>
      </c>
      <c r="BG165" t="s">
        <v>3</v>
      </c>
      <c r="BH165">
        <v>3</v>
      </c>
      <c r="BI165">
        <v>1</v>
      </c>
      <c r="BJ165" t="s">
        <v>290</v>
      </c>
      <c r="BM165">
        <v>500001</v>
      </c>
      <c r="BN165">
        <v>0</v>
      </c>
      <c r="BO165" t="s">
        <v>287</v>
      </c>
      <c r="BP165">
        <v>1</v>
      </c>
      <c r="BQ165">
        <v>8</v>
      </c>
      <c r="BR165">
        <v>0</v>
      </c>
      <c r="BS165">
        <v>1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3</v>
      </c>
      <c r="BZ165">
        <v>0</v>
      </c>
      <c r="CA165">
        <v>0</v>
      </c>
      <c r="CB165" t="s">
        <v>3</v>
      </c>
      <c r="CE165">
        <v>0</v>
      </c>
      <c r="CF165">
        <v>0</v>
      </c>
      <c r="CG165">
        <v>0</v>
      </c>
      <c r="CM165">
        <v>0</v>
      </c>
      <c r="CN165" t="s">
        <v>3</v>
      </c>
      <c r="CO165">
        <v>0</v>
      </c>
      <c r="CP165">
        <f t="shared" si="176"/>
        <v>398.64</v>
      </c>
      <c r="CQ165">
        <f t="shared" si="177"/>
        <v>398.64</v>
      </c>
      <c r="CR165">
        <f t="shared" si="178"/>
        <v>0</v>
      </c>
      <c r="CS165">
        <f t="shared" si="179"/>
        <v>0</v>
      </c>
      <c r="CT165">
        <f t="shared" si="180"/>
        <v>0</v>
      </c>
      <c r="CU165">
        <f t="shared" si="181"/>
        <v>0</v>
      </c>
      <c r="CV165">
        <f t="shared" si="181"/>
        <v>0</v>
      </c>
      <c r="CW165">
        <f t="shared" si="181"/>
        <v>0</v>
      </c>
      <c r="CX165">
        <f t="shared" si="181"/>
        <v>0</v>
      </c>
      <c r="CY165">
        <f>0</f>
        <v>0</v>
      </c>
      <c r="CZ165">
        <f>0</f>
        <v>0</v>
      </c>
      <c r="DC165" t="s">
        <v>3</v>
      </c>
      <c r="DD165" t="s">
        <v>3</v>
      </c>
      <c r="DE165" t="s">
        <v>3</v>
      </c>
      <c r="DF165" t="s">
        <v>3</v>
      </c>
      <c r="DG165" t="s">
        <v>3</v>
      </c>
      <c r="DH165" t="s">
        <v>3</v>
      </c>
      <c r="DI165" t="s">
        <v>3</v>
      </c>
      <c r="DJ165" t="s">
        <v>3</v>
      </c>
      <c r="DK165" t="s">
        <v>3</v>
      </c>
      <c r="DL165" t="s">
        <v>3</v>
      </c>
      <c r="DM165" t="s">
        <v>3</v>
      </c>
      <c r="DN165">
        <v>0</v>
      </c>
      <c r="DO165">
        <v>0</v>
      </c>
      <c r="DP165">
        <v>1</v>
      </c>
      <c r="DQ165">
        <v>1</v>
      </c>
      <c r="DU165">
        <v>1013</v>
      </c>
      <c r="DV165" t="s">
        <v>289</v>
      </c>
      <c r="DW165" t="s">
        <v>289</v>
      </c>
      <c r="DX165">
        <v>1</v>
      </c>
      <c r="DZ165" t="s">
        <v>3</v>
      </c>
      <c r="EA165" t="s">
        <v>3</v>
      </c>
      <c r="EB165" t="s">
        <v>3</v>
      </c>
      <c r="EC165" t="s">
        <v>3</v>
      </c>
      <c r="EE165">
        <v>92109332</v>
      </c>
      <c r="EF165">
        <v>8</v>
      </c>
      <c r="EG165" t="s">
        <v>154</v>
      </c>
      <c r="EH165">
        <v>0</v>
      </c>
      <c r="EI165" t="s">
        <v>3</v>
      </c>
      <c r="EJ165">
        <v>1</v>
      </c>
      <c r="EK165">
        <v>500001</v>
      </c>
      <c r="EL165" t="s">
        <v>155</v>
      </c>
      <c r="EM165" t="s">
        <v>156</v>
      </c>
      <c r="EO165" t="s">
        <v>3</v>
      </c>
      <c r="EQ165">
        <v>0</v>
      </c>
      <c r="ER165">
        <v>33</v>
      </c>
      <c r="ES165">
        <v>33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FQ165">
        <v>0</v>
      </c>
      <c r="FR165">
        <f t="shared" si="182"/>
        <v>0</v>
      </c>
      <c r="FS165">
        <v>0</v>
      </c>
      <c r="FX165">
        <v>0</v>
      </c>
      <c r="FY165">
        <v>0</v>
      </c>
      <c r="GA165" t="s">
        <v>3</v>
      </c>
      <c r="GD165">
        <v>1</v>
      </c>
      <c r="GF165">
        <v>2595824</v>
      </c>
      <c r="GG165">
        <v>2</v>
      </c>
      <c r="GH165">
        <v>1</v>
      </c>
      <c r="GI165">
        <v>2</v>
      </c>
      <c r="GJ165">
        <v>0</v>
      </c>
      <c r="GK165">
        <v>0</v>
      </c>
      <c r="GL165">
        <f t="shared" si="183"/>
        <v>0</v>
      </c>
      <c r="GM165">
        <f t="shared" si="184"/>
        <v>398.64</v>
      </c>
      <c r="GN165">
        <f t="shared" si="185"/>
        <v>398.64</v>
      </c>
      <c r="GO165">
        <f t="shared" si="186"/>
        <v>0</v>
      </c>
      <c r="GP165">
        <f t="shared" si="187"/>
        <v>0</v>
      </c>
      <c r="GR165">
        <v>0</v>
      </c>
      <c r="GS165">
        <v>3</v>
      </c>
      <c r="GT165">
        <v>0</v>
      </c>
      <c r="GU165" t="s">
        <v>3</v>
      </c>
      <c r="GV165">
        <f t="shared" si="188"/>
        <v>0</v>
      </c>
      <c r="GW165">
        <v>1</v>
      </c>
      <c r="GX165">
        <f t="shared" si="189"/>
        <v>0</v>
      </c>
      <c r="HA165">
        <v>0</v>
      </c>
      <c r="HB165">
        <v>0</v>
      </c>
      <c r="HC165">
        <f t="shared" si="190"/>
        <v>0</v>
      </c>
      <c r="HE165" t="s">
        <v>3</v>
      </c>
      <c r="HF165" t="s">
        <v>3</v>
      </c>
      <c r="HM165" t="s">
        <v>3</v>
      </c>
      <c r="HN165" t="s">
        <v>3</v>
      </c>
      <c r="HO165" t="s">
        <v>3</v>
      </c>
      <c r="HP165" t="s">
        <v>3</v>
      </c>
      <c r="HQ165" t="s">
        <v>3</v>
      </c>
      <c r="IK165">
        <v>0</v>
      </c>
    </row>
    <row r="167" spans="1:245" x14ac:dyDescent="0.2">
      <c r="A167" s="2">
        <v>51</v>
      </c>
      <c r="B167" s="2">
        <f>B155</f>
        <v>1</v>
      </c>
      <c r="C167" s="2">
        <f>A155</f>
        <v>5</v>
      </c>
      <c r="D167" s="2">
        <f>ROW(A155)</f>
        <v>155</v>
      </c>
      <c r="E167" s="2"/>
      <c r="F167" s="2" t="str">
        <f>IF(F155&lt;&gt;"",F155,"")</f>
        <v>Новый подраздел</v>
      </c>
      <c r="G167" s="2" t="str">
        <f>IF(G155&lt;&gt;"",G155,"")</f>
        <v>Калитка</v>
      </c>
      <c r="H167" s="2">
        <v>0</v>
      </c>
      <c r="I167" s="2"/>
      <c r="J167" s="2"/>
      <c r="K167" s="2"/>
      <c r="L167" s="2"/>
      <c r="M167" s="2"/>
      <c r="N167" s="2"/>
      <c r="O167" s="2">
        <f t="shared" ref="O167:T167" si="191">ROUND(AB167,2)</f>
        <v>4809.83</v>
      </c>
      <c r="P167" s="2">
        <f t="shared" si="191"/>
        <v>4581.82</v>
      </c>
      <c r="Q167" s="2">
        <f t="shared" si="191"/>
        <v>10.46</v>
      </c>
      <c r="R167" s="2">
        <f t="shared" si="191"/>
        <v>0</v>
      </c>
      <c r="S167" s="2">
        <f t="shared" si="191"/>
        <v>217.55</v>
      </c>
      <c r="T167" s="2">
        <f t="shared" si="191"/>
        <v>0</v>
      </c>
      <c r="U167" s="2">
        <f>AH167</f>
        <v>0.77390000000000003</v>
      </c>
      <c r="V167" s="2">
        <f>AI167</f>
        <v>0</v>
      </c>
      <c r="W167" s="2">
        <f>ROUND(AJ167,2)</f>
        <v>0</v>
      </c>
      <c r="X167" s="2">
        <f>ROUND(AK167,2)</f>
        <v>239.31</v>
      </c>
      <c r="Y167" s="2">
        <f>ROUND(AL167,2)</f>
        <v>158.81</v>
      </c>
      <c r="Z167" s="2"/>
      <c r="AA167" s="2"/>
      <c r="AB167" s="2">
        <f>ROUND(SUMIF(AA159:AA165,"=94798619",O159:O165),2)</f>
        <v>4809.83</v>
      </c>
      <c r="AC167" s="2">
        <f>ROUND(SUMIF(AA159:AA165,"=94798619",P159:P165),2)</f>
        <v>4581.82</v>
      </c>
      <c r="AD167" s="2">
        <f>ROUND(SUMIF(AA159:AA165,"=94798619",Q159:Q165),2)</f>
        <v>10.46</v>
      </c>
      <c r="AE167" s="2">
        <f>ROUND(SUMIF(AA159:AA165,"=94798619",R159:R165),2)</f>
        <v>0</v>
      </c>
      <c r="AF167" s="2">
        <f>ROUND(SUMIF(AA159:AA165,"=94798619",S159:S165),2)</f>
        <v>217.55</v>
      </c>
      <c r="AG167" s="2">
        <f>ROUND(SUMIF(AA159:AA165,"=94798619",T159:T165),2)</f>
        <v>0</v>
      </c>
      <c r="AH167" s="2">
        <f>SUMIF(AA159:AA165,"=94798619",U159:U165)</f>
        <v>0.77390000000000003</v>
      </c>
      <c r="AI167" s="2">
        <f>SUMIF(AA159:AA165,"=94798619",V159:V165)</f>
        <v>0</v>
      </c>
      <c r="AJ167" s="2">
        <f>ROUND(SUMIF(AA159:AA165,"=94798619",W159:W165),2)</f>
        <v>0</v>
      </c>
      <c r="AK167" s="2">
        <f>ROUND(SUMIF(AA159:AA165,"=94798619",X159:X165),2)</f>
        <v>239.31</v>
      </c>
      <c r="AL167" s="2">
        <f>ROUND(SUMIF(AA159:AA165,"=94798619",Y159:Y165),2)</f>
        <v>158.81</v>
      </c>
      <c r="AM167" s="2"/>
      <c r="AN167" s="2"/>
      <c r="AO167" s="2">
        <f t="shared" ref="AO167:BD167" si="192">ROUND(BX167,2)</f>
        <v>0</v>
      </c>
      <c r="AP167" s="2">
        <f t="shared" si="192"/>
        <v>0</v>
      </c>
      <c r="AQ167" s="2">
        <f t="shared" si="192"/>
        <v>0</v>
      </c>
      <c r="AR167" s="2">
        <f t="shared" si="192"/>
        <v>5207.95</v>
      </c>
      <c r="AS167" s="2">
        <f t="shared" si="192"/>
        <v>4738.55</v>
      </c>
      <c r="AT167" s="2">
        <f t="shared" si="192"/>
        <v>469.4</v>
      </c>
      <c r="AU167" s="2">
        <f t="shared" si="192"/>
        <v>0</v>
      </c>
      <c r="AV167" s="2">
        <f t="shared" si="192"/>
        <v>4581.82</v>
      </c>
      <c r="AW167" s="2">
        <f t="shared" si="192"/>
        <v>4581.82</v>
      </c>
      <c r="AX167" s="2">
        <f t="shared" si="192"/>
        <v>0</v>
      </c>
      <c r="AY167" s="2">
        <f t="shared" si="192"/>
        <v>4581.82</v>
      </c>
      <c r="AZ167" s="2">
        <f t="shared" si="192"/>
        <v>0</v>
      </c>
      <c r="BA167" s="2">
        <f t="shared" si="192"/>
        <v>0</v>
      </c>
      <c r="BB167" s="2">
        <f t="shared" si="192"/>
        <v>0</v>
      </c>
      <c r="BC167" s="2">
        <f t="shared" si="192"/>
        <v>0</v>
      </c>
      <c r="BD167" s="2">
        <f t="shared" si="192"/>
        <v>0</v>
      </c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>
        <f>ROUND(SUMIF(AA159:AA165,"=94798619",FQ159:FQ165),2)</f>
        <v>0</v>
      </c>
      <c r="BY167" s="2">
        <f>ROUND(SUMIF(AA159:AA165,"=94798619",FR159:FR165),2)</f>
        <v>0</v>
      </c>
      <c r="BZ167" s="2">
        <f>ROUND(SUMIF(AA159:AA165,"=94798619",GL159:GL165),2)</f>
        <v>0</v>
      </c>
      <c r="CA167" s="2">
        <f>ROUND(SUMIF(AA159:AA165,"=94798619",GM159:GM165),2)</f>
        <v>5207.95</v>
      </c>
      <c r="CB167" s="2">
        <f>ROUND(SUMIF(AA159:AA165,"=94798619",GN159:GN165),2)</f>
        <v>4738.55</v>
      </c>
      <c r="CC167" s="2">
        <f>ROUND(SUMIF(AA159:AA165,"=94798619",GO159:GO165),2)</f>
        <v>469.4</v>
      </c>
      <c r="CD167" s="2">
        <f>ROUND(SUMIF(AA159:AA165,"=94798619",GP159:GP165),2)</f>
        <v>0</v>
      </c>
      <c r="CE167" s="2">
        <f>AC167-BX167</f>
        <v>4581.82</v>
      </c>
      <c r="CF167" s="2">
        <f>AC167-BY167</f>
        <v>4581.82</v>
      </c>
      <c r="CG167" s="2">
        <f>BX167-BZ167</f>
        <v>0</v>
      </c>
      <c r="CH167" s="2">
        <f>AC167-BX167-BY167+BZ167</f>
        <v>4581.82</v>
      </c>
      <c r="CI167" s="2">
        <f>BY167-BZ167</f>
        <v>0</v>
      </c>
      <c r="CJ167" s="2">
        <f>ROUND(SUMIF(AA159:AA165,"=94798619",GX159:GX165),2)</f>
        <v>0</v>
      </c>
      <c r="CK167" s="2">
        <f>ROUND(SUMIF(AA159:AA165,"=94798619",GY159:GY165),2)</f>
        <v>0</v>
      </c>
      <c r="CL167" s="2">
        <f>ROUND(SUMIF(AA159:AA165,"=94798619",GZ159:GZ165),2)</f>
        <v>0</v>
      </c>
      <c r="CM167" s="2">
        <f>ROUND(SUMIF(AA159:AA165,"=94798619",HD159:HD165),2)</f>
        <v>0</v>
      </c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>
        <v>0</v>
      </c>
    </row>
    <row r="169" spans="1:245" x14ac:dyDescent="0.2">
      <c r="A169" s="4">
        <v>50</v>
      </c>
      <c r="B169" s="4">
        <v>0</v>
      </c>
      <c r="C169" s="4">
        <v>0</v>
      </c>
      <c r="D169" s="4">
        <v>1</v>
      </c>
      <c r="E169" s="4">
        <v>201</v>
      </c>
      <c r="F169" s="4">
        <f>ROUND(Source!O167,O169)</f>
        <v>4809.83</v>
      </c>
      <c r="G169" s="4" t="s">
        <v>82</v>
      </c>
      <c r="H169" s="4" t="s">
        <v>83</v>
      </c>
      <c r="I169" s="4"/>
      <c r="J169" s="4"/>
      <c r="K169" s="4">
        <v>201</v>
      </c>
      <c r="L169" s="4">
        <v>1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4809.83</v>
      </c>
      <c r="X169" s="4">
        <v>1</v>
      </c>
      <c r="Y169" s="4">
        <v>4809.83</v>
      </c>
      <c r="Z169" s="4"/>
      <c r="AA169" s="4"/>
      <c r="AB169" s="4"/>
    </row>
    <row r="170" spans="1:245" x14ac:dyDescent="0.2">
      <c r="A170" s="4">
        <v>50</v>
      </c>
      <c r="B170" s="4">
        <v>0</v>
      </c>
      <c r="C170" s="4">
        <v>0</v>
      </c>
      <c r="D170" s="4">
        <v>1</v>
      </c>
      <c r="E170" s="4">
        <v>202</v>
      </c>
      <c r="F170" s="4">
        <f>ROUND(Source!P167,O170)</f>
        <v>4581.82</v>
      </c>
      <c r="G170" s="4" t="s">
        <v>84</v>
      </c>
      <c r="H170" s="4" t="s">
        <v>85</v>
      </c>
      <c r="I170" s="4"/>
      <c r="J170" s="4"/>
      <c r="K170" s="4">
        <v>202</v>
      </c>
      <c r="L170" s="4">
        <v>2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4581.82</v>
      </c>
      <c r="X170" s="4">
        <v>1</v>
      </c>
      <c r="Y170" s="4">
        <v>4581.82</v>
      </c>
      <c r="Z170" s="4"/>
      <c r="AA170" s="4"/>
      <c r="AB170" s="4"/>
    </row>
    <row r="171" spans="1:245" x14ac:dyDescent="0.2">
      <c r="A171" s="4">
        <v>50</v>
      </c>
      <c r="B171" s="4">
        <v>0</v>
      </c>
      <c r="C171" s="4">
        <v>0</v>
      </c>
      <c r="D171" s="4">
        <v>1</v>
      </c>
      <c r="E171" s="4">
        <v>222</v>
      </c>
      <c r="F171" s="4">
        <f>ROUND(Source!AO167,O171)</f>
        <v>0</v>
      </c>
      <c r="G171" s="4" t="s">
        <v>86</v>
      </c>
      <c r="H171" s="4" t="s">
        <v>87</v>
      </c>
      <c r="I171" s="4"/>
      <c r="J171" s="4"/>
      <c r="K171" s="4">
        <v>222</v>
      </c>
      <c r="L171" s="4">
        <v>3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0</v>
      </c>
      <c r="X171" s="4">
        <v>1</v>
      </c>
      <c r="Y171" s="4">
        <v>0</v>
      </c>
      <c r="Z171" s="4"/>
      <c r="AA171" s="4"/>
      <c r="AB171" s="4"/>
    </row>
    <row r="172" spans="1:245" x14ac:dyDescent="0.2">
      <c r="A172" s="4">
        <v>50</v>
      </c>
      <c r="B172" s="4">
        <v>0</v>
      </c>
      <c r="C172" s="4">
        <v>0</v>
      </c>
      <c r="D172" s="4">
        <v>1</v>
      </c>
      <c r="E172" s="4">
        <v>225</v>
      </c>
      <c r="F172" s="4">
        <f>ROUND(Source!AV167,O172)</f>
        <v>4581.82</v>
      </c>
      <c r="G172" s="4" t="s">
        <v>88</v>
      </c>
      <c r="H172" s="4" t="s">
        <v>89</v>
      </c>
      <c r="I172" s="4"/>
      <c r="J172" s="4"/>
      <c r="K172" s="4">
        <v>225</v>
      </c>
      <c r="L172" s="4">
        <v>4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4581.82</v>
      </c>
      <c r="X172" s="4">
        <v>1</v>
      </c>
      <c r="Y172" s="4">
        <v>4581.82</v>
      </c>
      <c r="Z172" s="4"/>
      <c r="AA172" s="4"/>
      <c r="AB172" s="4"/>
    </row>
    <row r="173" spans="1:245" x14ac:dyDescent="0.2">
      <c r="A173" s="4">
        <v>50</v>
      </c>
      <c r="B173" s="4">
        <v>0</v>
      </c>
      <c r="C173" s="4">
        <v>0</v>
      </c>
      <c r="D173" s="4">
        <v>1</v>
      </c>
      <c r="E173" s="4">
        <v>226</v>
      </c>
      <c r="F173" s="4">
        <f>ROUND(Source!AW167,O173)</f>
        <v>4581.82</v>
      </c>
      <c r="G173" s="4" t="s">
        <v>90</v>
      </c>
      <c r="H173" s="4" t="s">
        <v>91</v>
      </c>
      <c r="I173" s="4"/>
      <c r="J173" s="4"/>
      <c r="K173" s="4">
        <v>226</v>
      </c>
      <c r="L173" s="4">
        <v>5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4581.82</v>
      </c>
      <c r="X173" s="4">
        <v>1</v>
      </c>
      <c r="Y173" s="4">
        <v>4581.82</v>
      </c>
      <c r="Z173" s="4"/>
      <c r="AA173" s="4"/>
      <c r="AB173" s="4"/>
    </row>
    <row r="174" spans="1:245" x14ac:dyDescent="0.2">
      <c r="A174" s="4">
        <v>50</v>
      </c>
      <c r="B174" s="4">
        <v>0</v>
      </c>
      <c r="C174" s="4">
        <v>0</v>
      </c>
      <c r="D174" s="4">
        <v>1</v>
      </c>
      <c r="E174" s="4">
        <v>227</v>
      </c>
      <c r="F174" s="4">
        <f>ROUND(Source!AX167,O174)</f>
        <v>0</v>
      </c>
      <c r="G174" s="4" t="s">
        <v>92</v>
      </c>
      <c r="H174" s="4" t="s">
        <v>93</v>
      </c>
      <c r="I174" s="4"/>
      <c r="J174" s="4"/>
      <c r="K174" s="4">
        <v>227</v>
      </c>
      <c r="L174" s="4">
        <v>6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0</v>
      </c>
      <c r="X174" s="4">
        <v>1</v>
      </c>
      <c r="Y174" s="4">
        <v>0</v>
      </c>
      <c r="Z174" s="4"/>
      <c r="AA174" s="4"/>
      <c r="AB174" s="4"/>
    </row>
    <row r="175" spans="1:245" x14ac:dyDescent="0.2">
      <c r="A175" s="4">
        <v>50</v>
      </c>
      <c r="B175" s="4">
        <v>0</v>
      </c>
      <c r="C175" s="4">
        <v>0</v>
      </c>
      <c r="D175" s="4">
        <v>1</v>
      </c>
      <c r="E175" s="4">
        <v>228</v>
      </c>
      <c r="F175" s="4">
        <f>ROUND(Source!AY167,O175)</f>
        <v>4581.82</v>
      </c>
      <c r="G175" s="4" t="s">
        <v>94</v>
      </c>
      <c r="H175" s="4" t="s">
        <v>95</v>
      </c>
      <c r="I175" s="4"/>
      <c r="J175" s="4"/>
      <c r="K175" s="4">
        <v>228</v>
      </c>
      <c r="L175" s="4">
        <v>7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4581.82</v>
      </c>
      <c r="X175" s="4">
        <v>1</v>
      </c>
      <c r="Y175" s="4">
        <v>4581.82</v>
      </c>
      <c r="Z175" s="4"/>
      <c r="AA175" s="4"/>
      <c r="AB175" s="4"/>
    </row>
    <row r="176" spans="1:245" x14ac:dyDescent="0.2">
      <c r="A176" s="4">
        <v>50</v>
      </c>
      <c r="B176" s="4">
        <v>0</v>
      </c>
      <c r="C176" s="4">
        <v>0</v>
      </c>
      <c r="D176" s="4">
        <v>1</v>
      </c>
      <c r="E176" s="4">
        <v>216</v>
      </c>
      <c r="F176" s="4">
        <f>ROUND(Source!AP167,O176)</f>
        <v>0</v>
      </c>
      <c r="G176" s="4" t="s">
        <v>96</v>
      </c>
      <c r="H176" s="4" t="s">
        <v>97</v>
      </c>
      <c r="I176" s="4"/>
      <c r="J176" s="4"/>
      <c r="K176" s="4">
        <v>216</v>
      </c>
      <c r="L176" s="4">
        <v>8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0</v>
      </c>
      <c r="X176" s="4">
        <v>1</v>
      </c>
      <c r="Y176" s="4">
        <v>0</v>
      </c>
      <c r="Z176" s="4"/>
      <c r="AA176" s="4"/>
      <c r="AB176" s="4"/>
    </row>
    <row r="177" spans="1:28" x14ac:dyDescent="0.2">
      <c r="A177" s="4">
        <v>50</v>
      </c>
      <c r="B177" s="4">
        <v>0</v>
      </c>
      <c r="C177" s="4">
        <v>0</v>
      </c>
      <c r="D177" s="4">
        <v>1</v>
      </c>
      <c r="E177" s="4">
        <v>223</v>
      </c>
      <c r="F177" s="4">
        <f>ROUND(Source!AQ167,O177)</f>
        <v>0</v>
      </c>
      <c r="G177" s="4" t="s">
        <v>98</v>
      </c>
      <c r="H177" s="4" t="s">
        <v>99</v>
      </c>
      <c r="I177" s="4"/>
      <c r="J177" s="4"/>
      <c r="K177" s="4">
        <v>223</v>
      </c>
      <c r="L177" s="4">
        <v>9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0</v>
      </c>
      <c r="X177" s="4">
        <v>1</v>
      </c>
      <c r="Y177" s="4">
        <v>0</v>
      </c>
      <c r="Z177" s="4"/>
      <c r="AA177" s="4"/>
      <c r="AB177" s="4"/>
    </row>
    <row r="178" spans="1:28" x14ac:dyDescent="0.2">
      <c r="A178" s="4">
        <v>50</v>
      </c>
      <c r="B178" s="4">
        <v>0</v>
      </c>
      <c r="C178" s="4">
        <v>0</v>
      </c>
      <c r="D178" s="4">
        <v>1</v>
      </c>
      <c r="E178" s="4">
        <v>229</v>
      </c>
      <c r="F178" s="4">
        <f>ROUND(Source!AZ167,O178)</f>
        <v>0</v>
      </c>
      <c r="G178" s="4" t="s">
        <v>100</v>
      </c>
      <c r="H178" s="4" t="s">
        <v>101</v>
      </c>
      <c r="I178" s="4"/>
      <c r="J178" s="4"/>
      <c r="K178" s="4">
        <v>229</v>
      </c>
      <c r="L178" s="4">
        <v>10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0</v>
      </c>
      <c r="X178" s="4">
        <v>1</v>
      </c>
      <c r="Y178" s="4">
        <v>0</v>
      </c>
      <c r="Z178" s="4"/>
      <c r="AA178" s="4"/>
      <c r="AB178" s="4"/>
    </row>
    <row r="179" spans="1:28" x14ac:dyDescent="0.2">
      <c r="A179" s="4">
        <v>50</v>
      </c>
      <c r="B179" s="4">
        <v>0</v>
      </c>
      <c r="C179" s="4">
        <v>0</v>
      </c>
      <c r="D179" s="4">
        <v>1</v>
      </c>
      <c r="E179" s="4">
        <v>203</v>
      </c>
      <c r="F179" s="4">
        <f>ROUND(Source!Q167,O179)</f>
        <v>10.46</v>
      </c>
      <c r="G179" s="4" t="s">
        <v>102</v>
      </c>
      <c r="H179" s="4" t="s">
        <v>103</v>
      </c>
      <c r="I179" s="4"/>
      <c r="J179" s="4"/>
      <c r="K179" s="4">
        <v>203</v>
      </c>
      <c r="L179" s="4">
        <v>11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10.46</v>
      </c>
      <c r="X179" s="4">
        <v>1</v>
      </c>
      <c r="Y179" s="4">
        <v>10.46</v>
      </c>
      <c r="Z179" s="4"/>
      <c r="AA179" s="4"/>
      <c r="AB179" s="4"/>
    </row>
    <row r="180" spans="1:28" x14ac:dyDescent="0.2">
      <c r="A180" s="4">
        <v>50</v>
      </c>
      <c r="B180" s="4">
        <v>0</v>
      </c>
      <c r="C180" s="4">
        <v>0</v>
      </c>
      <c r="D180" s="4">
        <v>1</v>
      </c>
      <c r="E180" s="4">
        <v>231</v>
      </c>
      <c r="F180" s="4">
        <f>ROUND(Source!BB167,O180)</f>
        <v>0</v>
      </c>
      <c r="G180" s="4" t="s">
        <v>104</v>
      </c>
      <c r="H180" s="4" t="s">
        <v>105</v>
      </c>
      <c r="I180" s="4"/>
      <c r="J180" s="4"/>
      <c r="K180" s="4">
        <v>231</v>
      </c>
      <c r="L180" s="4">
        <v>12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>
        <v>0</v>
      </c>
      <c r="X180" s="4">
        <v>1</v>
      </c>
      <c r="Y180" s="4">
        <v>0</v>
      </c>
      <c r="Z180" s="4"/>
      <c r="AA180" s="4"/>
      <c r="AB180" s="4"/>
    </row>
    <row r="181" spans="1:28" x14ac:dyDescent="0.2">
      <c r="A181" s="4">
        <v>50</v>
      </c>
      <c r="B181" s="4">
        <v>0</v>
      </c>
      <c r="C181" s="4">
        <v>0</v>
      </c>
      <c r="D181" s="4">
        <v>1</v>
      </c>
      <c r="E181" s="4">
        <v>204</v>
      </c>
      <c r="F181" s="4">
        <f>ROUND(Source!R167,O181)</f>
        <v>0</v>
      </c>
      <c r="G181" s="4" t="s">
        <v>106</v>
      </c>
      <c r="H181" s="4" t="s">
        <v>107</v>
      </c>
      <c r="I181" s="4"/>
      <c r="J181" s="4"/>
      <c r="K181" s="4">
        <v>204</v>
      </c>
      <c r="L181" s="4">
        <v>13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>
        <v>0</v>
      </c>
      <c r="X181" s="4">
        <v>1</v>
      </c>
      <c r="Y181" s="4">
        <v>0</v>
      </c>
      <c r="Z181" s="4"/>
      <c r="AA181" s="4"/>
      <c r="AB181" s="4"/>
    </row>
    <row r="182" spans="1:28" x14ac:dyDescent="0.2">
      <c r="A182" s="4">
        <v>50</v>
      </c>
      <c r="B182" s="4">
        <v>0</v>
      </c>
      <c r="C182" s="4">
        <v>0</v>
      </c>
      <c r="D182" s="4">
        <v>1</v>
      </c>
      <c r="E182" s="4">
        <v>205</v>
      </c>
      <c r="F182" s="4">
        <f>ROUND(Source!S167,O182)</f>
        <v>217.55</v>
      </c>
      <c r="G182" s="4" t="s">
        <v>108</v>
      </c>
      <c r="H182" s="4" t="s">
        <v>109</v>
      </c>
      <c r="I182" s="4"/>
      <c r="J182" s="4"/>
      <c r="K182" s="4">
        <v>205</v>
      </c>
      <c r="L182" s="4">
        <v>14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>
        <v>217.55</v>
      </c>
      <c r="X182" s="4">
        <v>1</v>
      </c>
      <c r="Y182" s="4">
        <v>217.55</v>
      </c>
      <c r="Z182" s="4"/>
      <c r="AA182" s="4"/>
      <c r="AB182" s="4"/>
    </row>
    <row r="183" spans="1:28" x14ac:dyDescent="0.2">
      <c r="A183" s="4">
        <v>50</v>
      </c>
      <c r="B183" s="4">
        <v>0</v>
      </c>
      <c r="C183" s="4">
        <v>0</v>
      </c>
      <c r="D183" s="4">
        <v>1</v>
      </c>
      <c r="E183" s="4">
        <v>232</v>
      </c>
      <c r="F183" s="4">
        <f>ROUND(Source!BC167,O183)</f>
        <v>0</v>
      </c>
      <c r="G183" s="4" t="s">
        <v>110</v>
      </c>
      <c r="H183" s="4" t="s">
        <v>111</v>
      </c>
      <c r="I183" s="4"/>
      <c r="J183" s="4"/>
      <c r="K183" s="4">
        <v>232</v>
      </c>
      <c r="L183" s="4">
        <v>15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>
        <v>0</v>
      </c>
      <c r="X183" s="4">
        <v>1</v>
      </c>
      <c r="Y183" s="4">
        <v>0</v>
      </c>
      <c r="Z183" s="4"/>
      <c r="AA183" s="4"/>
      <c r="AB183" s="4"/>
    </row>
    <row r="184" spans="1:28" x14ac:dyDescent="0.2">
      <c r="A184" s="4">
        <v>50</v>
      </c>
      <c r="B184" s="4">
        <v>0</v>
      </c>
      <c r="C184" s="4">
        <v>0</v>
      </c>
      <c r="D184" s="4">
        <v>1</v>
      </c>
      <c r="E184" s="4">
        <v>214</v>
      </c>
      <c r="F184" s="4">
        <f>ROUND(Source!AS167,O184)</f>
        <v>4738.55</v>
      </c>
      <c r="G184" s="4" t="s">
        <v>112</v>
      </c>
      <c r="H184" s="4" t="s">
        <v>113</v>
      </c>
      <c r="I184" s="4"/>
      <c r="J184" s="4"/>
      <c r="K184" s="4">
        <v>214</v>
      </c>
      <c r="L184" s="4">
        <v>16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>
        <v>4738.55</v>
      </c>
      <c r="X184" s="4">
        <v>1</v>
      </c>
      <c r="Y184" s="4">
        <v>4738.55</v>
      </c>
      <c r="Z184" s="4"/>
      <c r="AA184" s="4"/>
      <c r="AB184" s="4"/>
    </row>
    <row r="185" spans="1:28" x14ac:dyDescent="0.2">
      <c r="A185" s="4">
        <v>50</v>
      </c>
      <c r="B185" s="4">
        <v>0</v>
      </c>
      <c r="C185" s="4">
        <v>0</v>
      </c>
      <c r="D185" s="4">
        <v>1</v>
      </c>
      <c r="E185" s="4">
        <v>215</v>
      </c>
      <c r="F185" s="4">
        <f>ROUND(Source!AT167,O185)</f>
        <v>469.4</v>
      </c>
      <c r="G185" s="4" t="s">
        <v>114</v>
      </c>
      <c r="H185" s="4" t="s">
        <v>115</v>
      </c>
      <c r="I185" s="4"/>
      <c r="J185" s="4"/>
      <c r="K185" s="4">
        <v>215</v>
      </c>
      <c r="L185" s="4">
        <v>17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>
        <v>469.4</v>
      </c>
      <c r="X185" s="4">
        <v>1</v>
      </c>
      <c r="Y185" s="4">
        <v>469.4</v>
      </c>
      <c r="Z185" s="4"/>
      <c r="AA185" s="4"/>
      <c r="AB185" s="4"/>
    </row>
    <row r="186" spans="1:28" x14ac:dyDescent="0.2">
      <c r="A186" s="4">
        <v>50</v>
      </c>
      <c r="B186" s="4">
        <v>0</v>
      </c>
      <c r="C186" s="4">
        <v>0</v>
      </c>
      <c r="D186" s="4">
        <v>1</v>
      </c>
      <c r="E186" s="4">
        <v>217</v>
      </c>
      <c r="F186" s="4">
        <f>ROUND(Source!AU167,O186)</f>
        <v>0</v>
      </c>
      <c r="G186" s="4" t="s">
        <v>116</v>
      </c>
      <c r="H186" s="4" t="s">
        <v>117</v>
      </c>
      <c r="I186" s="4"/>
      <c r="J186" s="4"/>
      <c r="K186" s="4">
        <v>217</v>
      </c>
      <c r="L186" s="4">
        <v>18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>
        <v>0</v>
      </c>
      <c r="X186" s="4">
        <v>1</v>
      </c>
      <c r="Y186" s="4">
        <v>0</v>
      </c>
      <c r="Z186" s="4"/>
      <c r="AA186" s="4"/>
      <c r="AB186" s="4"/>
    </row>
    <row r="187" spans="1:28" x14ac:dyDescent="0.2">
      <c r="A187" s="4">
        <v>50</v>
      </c>
      <c r="B187" s="4">
        <v>0</v>
      </c>
      <c r="C187" s="4">
        <v>0</v>
      </c>
      <c r="D187" s="4">
        <v>1</v>
      </c>
      <c r="E187" s="4">
        <v>230</v>
      </c>
      <c r="F187" s="4">
        <f>ROUND(Source!BA167,O187)</f>
        <v>0</v>
      </c>
      <c r="G187" s="4" t="s">
        <v>118</v>
      </c>
      <c r="H187" s="4" t="s">
        <v>119</v>
      </c>
      <c r="I187" s="4"/>
      <c r="J187" s="4"/>
      <c r="K187" s="4">
        <v>230</v>
      </c>
      <c r="L187" s="4">
        <v>19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>
        <v>0</v>
      </c>
      <c r="X187" s="4">
        <v>1</v>
      </c>
      <c r="Y187" s="4">
        <v>0</v>
      </c>
      <c r="Z187" s="4"/>
      <c r="AA187" s="4"/>
      <c r="AB187" s="4"/>
    </row>
    <row r="188" spans="1:28" x14ac:dyDescent="0.2">
      <c r="A188" s="4">
        <v>50</v>
      </c>
      <c r="B188" s="4">
        <v>0</v>
      </c>
      <c r="C188" s="4">
        <v>0</v>
      </c>
      <c r="D188" s="4">
        <v>1</v>
      </c>
      <c r="E188" s="4">
        <v>206</v>
      </c>
      <c r="F188" s="4">
        <f>ROUND(Source!T167,O188)</f>
        <v>0</v>
      </c>
      <c r="G188" s="4" t="s">
        <v>120</v>
      </c>
      <c r="H188" s="4" t="s">
        <v>121</v>
      </c>
      <c r="I188" s="4"/>
      <c r="J188" s="4"/>
      <c r="K188" s="4">
        <v>206</v>
      </c>
      <c r="L188" s="4">
        <v>20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>
        <v>0</v>
      </c>
      <c r="X188" s="4">
        <v>1</v>
      </c>
      <c r="Y188" s="4">
        <v>0</v>
      </c>
      <c r="Z188" s="4"/>
      <c r="AA188" s="4"/>
      <c r="AB188" s="4"/>
    </row>
    <row r="189" spans="1:28" x14ac:dyDescent="0.2">
      <c r="A189" s="4">
        <v>50</v>
      </c>
      <c r="B189" s="4">
        <v>0</v>
      </c>
      <c r="C189" s="4">
        <v>0</v>
      </c>
      <c r="D189" s="4">
        <v>1</v>
      </c>
      <c r="E189" s="4">
        <v>207</v>
      </c>
      <c r="F189" s="4">
        <f>Source!U167</f>
        <v>0.77390000000000003</v>
      </c>
      <c r="G189" s="4" t="s">
        <v>122</v>
      </c>
      <c r="H189" s="4" t="s">
        <v>123</v>
      </c>
      <c r="I189" s="4"/>
      <c r="J189" s="4"/>
      <c r="K189" s="4">
        <v>207</v>
      </c>
      <c r="L189" s="4">
        <v>21</v>
      </c>
      <c r="M189" s="4">
        <v>3</v>
      </c>
      <c r="N189" s="4" t="s">
        <v>3</v>
      </c>
      <c r="O189" s="4">
        <v>-1</v>
      </c>
      <c r="P189" s="4"/>
      <c r="Q189" s="4"/>
      <c r="R189" s="4"/>
      <c r="S189" s="4"/>
      <c r="T189" s="4"/>
      <c r="U189" s="4"/>
      <c r="V189" s="4"/>
      <c r="W189" s="4">
        <v>0.77390000000000003</v>
      </c>
      <c r="X189" s="4">
        <v>1</v>
      </c>
      <c r="Y189" s="4">
        <v>0.77390000000000003</v>
      </c>
      <c r="Z189" s="4"/>
      <c r="AA189" s="4"/>
      <c r="AB189" s="4"/>
    </row>
    <row r="190" spans="1:28" x14ac:dyDescent="0.2">
      <c r="A190" s="4">
        <v>50</v>
      </c>
      <c r="B190" s="4">
        <v>0</v>
      </c>
      <c r="C190" s="4">
        <v>0</v>
      </c>
      <c r="D190" s="4">
        <v>1</v>
      </c>
      <c r="E190" s="4">
        <v>208</v>
      </c>
      <c r="F190" s="4">
        <f>Source!V167</f>
        <v>0</v>
      </c>
      <c r="G190" s="4" t="s">
        <v>124</v>
      </c>
      <c r="H190" s="4" t="s">
        <v>125</v>
      </c>
      <c r="I190" s="4"/>
      <c r="J190" s="4"/>
      <c r="K190" s="4">
        <v>208</v>
      </c>
      <c r="L190" s="4">
        <v>22</v>
      </c>
      <c r="M190" s="4">
        <v>3</v>
      </c>
      <c r="N190" s="4" t="s">
        <v>3</v>
      </c>
      <c r="O190" s="4">
        <v>-1</v>
      </c>
      <c r="P190" s="4"/>
      <c r="Q190" s="4"/>
      <c r="R190" s="4"/>
      <c r="S190" s="4"/>
      <c r="T190" s="4"/>
      <c r="U190" s="4"/>
      <c r="V190" s="4"/>
      <c r="W190" s="4">
        <v>0</v>
      </c>
      <c r="X190" s="4">
        <v>1</v>
      </c>
      <c r="Y190" s="4">
        <v>0</v>
      </c>
      <c r="Z190" s="4"/>
      <c r="AA190" s="4"/>
      <c r="AB190" s="4"/>
    </row>
    <row r="191" spans="1:28" x14ac:dyDescent="0.2">
      <c r="A191" s="4">
        <v>50</v>
      </c>
      <c r="B191" s="4">
        <v>0</v>
      </c>
      <c r="C191" s="4">
        <v>0</v>
      </c>
      <c r="D191" s="4">
        <v>1</v>
      </c>
      <c r="E191" s="4">
        <v>209</v>
      </c>
      <c r="F191" s="4">
        <f>ROUND(Source!W167,O191)</f>
        <v>0</v>
      </c>
      <c r="G191" s="4" t="s">
        <v>126</v>
      </c>
      <c r="H191" s="4" t="s">
        <v>127</v>
      </c>
      <c r="I191" s="4"/>
      <c r="J191" s="4"/>
      <c r="K191" s="4">
        <v>209</v>
      </c>
      <c r="L191" s="4">
        <v>23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>
        <v>0</v>
      </c>
      <c r="X191" s="4">
        <v>1</v>
      </c>
      <c r="Y191" s="4">
        <v>0</v>
      </c>
      <c r="Z191" s="4"/>
      <c r="AA191" s="4"/>
      <c r="AB191" s="4"/>
    </row>
    <row r="192" spans="1:28" x14ac:dyDescent="0.2">
      <c r="A192" s="4">
        <v>50</v>
      </c>
      <c r="B192" s="4">
        <v>0</v>
      </c>
      <c r="C192" s="4">
        <v>0</v>
      </c>
      <c r="D192" s="4">
        <v>1</v>
      </c>
      <c r="E192" s="4">
        <v>233</v>
      </c>
      <c r="F192" s="4">
        <f>ROUND(Source!BD167,O192)</f>
        <v>0</v>
      </c>
      <c r="G192" s="4" t="s">
        <v>128</v>
      </c>
      <c r="H192" s="4" t="s">
        <v>129</v>
      </c>
      <c r="I192" s="4"/>
      <c r="J192" s="4"/>
      <c r="K192" s="4">
        <v>233</v>
      </c>
      <c r="L192" s="4">
        <v>24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>
        <v>0</v>
      </c>
      <c r="X192" s="4">
        <v>1</v>
      </c>
      <c r="Y192" s="4">
        <v>0</v>
      </c>
      <c r="Z192" s="4"/>
      <c r="AA192" s="4"/>
      <c r="AB192" s="4"/>
    </row>
    <row r="193" spans="1:206" x14ac:dyDescent="0.2">
      <c r="A193" s="4">
        <v>50</v>
      </c>
      <c r="B193" s="4">
        <v>0</v>
      </c>
      <c r="C193" s="4">
        <v>0</v>
      </c>
      <c r="D193" s="4">
        <v>1</v>
      </c>
      <c r="E193" s="4">
        <v>210</v>
      </c>
      <c r="F193" s="4">
        <f>ROUND(Source!X167,O193)</f>
        <v>239.31</v>
      </c>
      <c r="G193" s="4" t="s">
        <v>130</v>
      </c>
      <c r="H193" s="4" t="s">
        <v>131</v>
      </c>
      <c r="I193" s="4"/>
      <c r="J193" s="4"/>
      <c r="K193" s="4">
        <v>210</v>
      </c>
      <c r="L193" s="4">
        <v>25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>
        <v>239.31</v>
      </c>
      <c r="X193" s="4">
        <v>1</v>
      </c>
      <c r="Y193" s="4">
        <v>239.31</v>
      </c>
      <c r="Z193" s="4"/>
      <c r="AA193" s="4"/>
      <c r="AB193" s="4"/>
    </row>
    <row r="194" spans="1:206" x14ac:dyDescent="0.2">
      <c r="A194" s="4">
        <v>50</v>
      </c>
      <c r="B194" s="4">
        <v>0</v>
      </c>
      <c r="C194" s="4">
        <v>0</v>
      </c>
      <c r="D194" s="4">
        <v>1</v>
      </c>
      <c r="E194" s="4">
        <v>211</v>
      </c>
      <c r="F194" s="4">
        <f>ROUND(Source!Y167,O194)</f>
        <v>158.81</v>
      </c>
      <c r="G194" s="4" t="s">
        <v>132</v>
      </c>
      <c r="H194" s="4" t="s">
        <v>133</v>
      </c>
      <c r="I194" s="4"/>
      <c r="J194" s="4"/>
      <c r="K194" s="4">
        <v>211</v>
      </c>
      <c r="L194" s="4">
        <v>26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>
        <v>158.81</v>
      </c>
      <c r="X194" s="4">
        <v>1</v>
      </c>
      <c r="Y194" s="4">
        <v>158.81</v>
      </c>
      <c r="Z194" s="4"/>
      <c r="AA194" s="4"/>
      <c r="AB194" s="4"/>
    </row>
    <row r="195" spans="1:206" x14ac:dyDescent="0.2">
      <c r="A195" s="4">
        <v>50</v>
      </c>
      <c r="B195" s="4">
        <v>0</v>
      </c>
      <c r="C195" s="4">
        <v>0</v>
      </c>
      <c r="D195" s="4">
        <v>1</v>
      </c>
      <c r="E195" s="4">
        <v>224</v>
      </c>
      <c r="F195" s="4">
        <f>ROUND(Source!AR167,O195)</f>
        <v>5207.95</v>
      </c>
      <c r="G195" s="4" t="s">
        <v>134</v>
      </c>
      <c r="H195" s="4" t="s">
        <v>135</v>
      </c>
      <c r="I195" s="4"/>
      <c r="J195" s="4"/>
      <c r="K195" s="4">
        <v>224</v>
      </c>
      <c r="L195" s="4">
        <v>27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>
        <v>5207.95</v>
      </c>
      <c r="X195" s="4">
        <v>1</v>
      </c>
      <c r="Y195" s="4">
        <v>5207.95</v>
      </c>
      <c r="Z195" s="4"/>
      <c r="AA195" s="4"/>
      <c r="AB195" s="4"/>
    </row>
    <row r="196" spans="1:206" x14ac:dyDescent="0.2">
      <c r="A196" s="4">
        <v>50</v>
      </c>
      <c r="B196" s="4">
        <v>1</v>
      </c>
      <c r="C196" s="4">
        <v>0</v>
      </c>
      <c r="D196" s="4">
        <v>2</v>
      </c>
      <c r="E196" s="4">
        <v>0</v>
      </c>
      <c r="F196" s="4">
        <f>ROUND(F182,O196)</f>
        <v>217.55</v>
      </c>
      <c r="G196" s="4" t="s">
        <v>136</v>
      </c>
      <c r="H196" s="4" t="s">
        <v>108</v>
      </c>
      <c r="I196" s="4"/>
      <c r="J196" s="4"/>
      <c r="K196" s="4">
        <v>212</v>
      </c>
      <c r="L196" s="4">
        <v>28</v>
      </c>
      <c r="M196" s="4">
        <v>0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>
        <v>217.55</v>
      </c>
      <c r="X196" s="4">
        <v>1</v>
      </c>
      <c r="Y196" s="4">
        <v>217.55</v>
      </c>
      <c r="Z196" s="4"/>
      <c r="AA196" s="4"/>
      <c r="AB196" s="4"/>
    </row>
    <row r="197" spans="1:206" x14ac:dyDescent="0.2">
      <c r="A197" s="4">
        <v>50</v>
      </c>
      <c r="B197" s="4">
        <v>1</v>
      </c>
      <c r="C197" s="4">
        <v>0</v>
      </c>
      <c r="D197" s="4">
        <v>2</v>
      </c>
      <c r="E197" s="4">
        <v>0</v>
      </c>
      <c r="F197" s="4">
        <f>ROUND(F179,O197)</f>
        <v>10.46</v>
      </c>
      <c r="G197" s="4" t="s">
        <v>137</v>
      </c>
      <c r="H197" s="4" t="s">
        <v>138</v>
      </c>
      <c r="I197" s="4"/>
      <c r="J197" s="4"/>
      <c r="K197" s="4">
        <v>212</v>
      </c>
      <c r="L197" s="4">
        <v>29</v>
      </c>
      <c r="M197" s="4">
        <v>0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>
        <v>10.46</v>
      </c>
      <c r="X197" s="4">
        <v>1</v>
      </c>
      <c r="Y197" s="4">
        <v>10.46</v>
      </c>
      <c r="Z197" s="4"/>
      <c r="AA197" s="4"/>
      <c r="AB197" s="4"/>
    </row>
    <row r="198" spans="1:206" x14ac:dyDescent="0.2">
      <c r="A198" s="4">
        <v>50</v>
      </c>
      <c r="B198" s="4">
        <v>1</v>
      </c>
      <c r="C198" s="4">
        <v>0</v>
      </c>
      <c r="D198" s="4">
        <v>2</v>
      </c>
      <c r="E198" s="4">
        <v>0</v>
      </c>
      <c r="F198" s="4">
        <f>ROUND(F170,O198)</f>
        <v>4581.82</v>
      </c>
      <c r="G198" s="4" t="s">
        <v>139</v>
      </c>
      <c r="H198" s="4" t="s">
        <v>140</v>
      </c>
      <c r="I198" s="4"/>
      <c r="J198" s="4"/>
      <c r="K198" s="4">
        <v>212</v>
      </c>
      <c r="L198" s="4">
        <v>30</v>
      </c>
      <c r="M198" s="4">
        <v>0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>
        <v>4581.82</v>
      </c>
      <c r="X198" s="4">
        <v>1</v>
      </c>
      <c r="Y198" s="4">
        <v>4581.82</v>
      </c>
      <c r="Z198" s="4"/>
      <c r="AA198" s="4"/>
      <c r="AB198" s="4"/>
    </row>
    <row r="199" spans="1:206" x14ac:dyDescent="0.2">
      <c r="A199" s="4">
        <v>50</v>
      </c>
      <c r="B199" s="4">
        <v>1</v>
      </c>
      <c r="C199" s="4">
        <v>0</v>
      </c>
      <c r="D199" s="4">
        <v>2</v>
      </c>
      <c r="E199" s="4">
        <v>0</v>
      </c>
      <c r="F199" s="4">
        <f>ROUND(F193,O199)</f>
        <v>239.31</v>
      </c>
      <c r="G199" s="4" t="s">
        <v>141</v>
      </c>
      <c r="H199" s="4" t="s">
        <v>130</v>
      </c>
      <c r="I199" s="4"/>
      <c r="J199" s="4"/>
      <c r="K199" s="4">
        <v>212</v>
      </c>
      <c r="L199" s="4">
        <v>31</v>
      </c>
      <c r="M199" s="4">
        <v>0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>
        <v>239.31</v>
      </c>
      <c r="X199" s="4">
        <v>1</v>
      </c>
      <c r="Y199" s="4">
        <v>239.31</v>
      </c>
      <c r="Z199" s="4"/>
      <c r="AA199" s="4"/>
      <c r="AB199" s="4"/>
    </row>
    <row r="200" spans="1:206" x14ac:dyDescent="0.2">
      <c r="A200" s="4">
        <v>50</v>
      </c>
      <c r="B200" s="4">
        <v>1</v>
      </c>
      <c r="C200" s="4">
        <v>0</v>
      </c>
      <c r="D200" s="4">
        <v>2</v>
      </c>
      <c r="E200" s="4">
        <v>0</v>
      </c>
      <c r="F200" s="4">
        <f>ROUND(F194,O200)</f>
        <v>158.81</v>
      </c>
      <c r="G200" s="4" t="s">
        <v>142</v>
      </c>
      <c r="H200" s="4" t="s">
        <v>143</v>
      </c>
      <c r="I200" s="4"/>
      <c r="J200" s="4"/>
      <c r="K200" s="4">
        <v>212</v>
      </c>
      <c r="L200" s="4">
        <v>32</v>
      </c>
      <c r="M200" s="4">
        <v>0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>
        <v>158.81</v>
      </c>
      <c r="X200" s="4">
        <v>1</v>
      </c>
      <c r="Y200" s="4">
        <v>158.81</v>
      </c>
      <c r="Z200" s="4"/>
      <c r="AA200" s="4"/>
      <c r="AB200" s="4"/>
    </row>
    <row r="201" spans="1:206" x14ac:dyDescent="0.2">
      <c r="A201" s="4">
        <v>50</v>
      </c>
      <c r="B201" s="4">
        <v>1</v>
      </c>
      <c r="C201" s="4">
        <v>0</v>
      </c>
      <c r="D201" s="4">
        <v>2</v>
      </c>
      <c r="E201" s="4">
        <v>0</v>
      </c>
      <c r="F201" s="4">
        <f>ROUND(F196+F197+F198+F199+F200,O201)</f>
        <v>5207.95</v>
      </c>
      <c r="G201" s="4" t="s">
        <v>144</v>
      </c>
      <c r="H201" s="4" t="s">
        <v>134</v>
      </c>
      <c r="I201" s="4"/>
      <c r="J201" s="4"/>
      <c r="K201" s="4">
        <v>212</v>
      </c>
      <c r="L201" s="4">
        <v>33</v>
      </c>
      <c r="M201" s="4">
        <v>0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>
        <v>5207.95</v>
      </c>
      <c r="X201" s="4">
        <v>1</v>
      </c>
      <c r="Y201" s="4">
        <v>5207.95</v>
      </c>
      <c r="Z201" s="4"/>
      <c r="AA201" s="4"/>
      <c r="AB201" s="4"/>
    </row>
    <row r="202" spans="1:206" x14ac:dyDescent="0.2">
      <c r="A202" s="4">
        <v>50</v>
      </c>
      <c r="B202" s="4">
        <v>1</v>
      </c>
      <c r="C202" s="4">
        <v>0</v>
      </c>
      <c r="D202" s="4">
        <v>2</v>
      </c>
      <c r="E202" s="4">
        <v>0</v>
      </c>
      <c r="F202" s="4">
        <f>ROUND(F201*0.2,O202)</f>
        <v>1041.5899999999999</v>
      </c>
      <c r="G202" s="4" t="s">
        <v>145</v>
      </c>
      <c r="H202" s="4" t="s">
        <v>146</v>
      </c>
      <c r="I202" s="4"/>
      <c r="J202" s="4"/>
      <c r="K202" s="4">
        <v>212</v>
      </c>
      <c r="L202" s="4">
        <v>34</v>
      </c>
      <c r="M202" s="4">
        <v>0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>
        <v>1041.5899999999999</v>
      </c>
      <c r="X202" s="4">
        <v>1</v>
      </c>
      <c r="Y202" s="4">
        <v>1041.5899999999999</v>
      </c>
      <c r="Z202" s="4"/>
      <c r="AA202" s="4"/>
      <c r="AB202" s="4"/>
    </row>
    <row r="203" spans="1:206" x14ac:dyDescent="0.2">
      <c r="A203" s="4">
        <v>50</v>
      </c>
      <c r="B203" s="4">
        <v>1</v>
      </c>
      <c r="C203" s="4">
        <v>0</v>
      </c>
      <c r="D203" s="4">
        <v>2</v>
      </c>
      <c r="E203" s="4">
        <v>213</v>
      </c>
      <c r="F203" s="4">
        <f>ROUND(F201+F202,O203)</f>
        <v>6249.54</v>
      </c>
      <c r="G203" s="4" t="s">
        <v>147</v>
      </c>
      <c r="H203" s="4" t="s">
        <v>148</v>
      </c>
      <c r="I203" s="4"/>
      <c r="J203" s="4"/>
      <c r="K203" s="4">
        <v>212</v>
      </c>
      <c r="L203" s="4">
        <v>35</v>
      </c>
      <c r="M203" s="4">
        <v>0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>
        <v>6249.54</v>
      </c>
      <c r="X203" s="4">
        <v>1</v>
      </c>
      <c r="Y203" s="4">
        <v>6249.54</v>
      </c>
      <c r="Z203" s="4"/>
      <c r="AA203" s="4"/>
      <c r="AB203" s="4"/>
    </row>
    <row r="205" spans="1:206" x14ac:dyDescent="0.2">
      <c r="A205" s="2">
        <v>51</v>
      </c>
      <c r="B205" s="2">
        <f>B76</f>
        <v>1</v>
      </c>
      <c r="C205" s="2">
        <f>A76</f>
        <v>4</v>
      </c>
      <c r="D205" s="2">
        <f>ROW(A76)</f>
        <v>76</v>
      </c>
      <c r="E205" s="2"/>
      <c r="F205" s="2" t="str">
        <f>IF(F76&lt;&gt;"",F76,"")</f>
        <v>Новый раздел</v>
      </c>
      <c r="G205" s="2" t="str">
        <f>IF(G76&lt;&gt;"",G76,"")</f>
        <v>Ограждение территории</v>
      </c>
      <c r="H205" s="2">
        <v>0</v>
      </c>
      <c r="I205" s="2"/>
      <c r="J205" s="2"/>
      <c r="K205" s="2"/>
      <c r="L205" s="2"/>
      <c r="M205" s="2"/>
      <c r="N205" s="2"/>
      <c r="O205" s="2">
        <f t="shared" ref="O205:T205" si="193">ROUND(O117+O167+AB205,2)</f>
        <v>970830.69</v>
      </c>
      <c r="P205" s="2">
        <f t="shared" si="193"/>
        <v>334670.49</v>
      </c>
      <c r="Q205" s="2">
        <f t="shared" si="193"/>
        <v>205094.88</v>
      </c>
      <c r="R205" s="2">
        <f t="shared" si="193"/>
        <v>55355.93</v>
      </c>
      <c r="S205" s="2">
        <f t="shared" si="193"/>
        <v>431065.32</v>
      </c>
      <c r="T205" s="2">
        <f t="shared" si="193"/>
        <v>0</v>
      </c>
      <c r="U205" s="2">
        <f>U117+U167+AH205</f>
        <v>1406.2770600000001</v>
      </c>
      <c r="V205" s="2">
        <f>V117+V167+AI205</f>
        <v>129.71266</v>
      </c>
      <c r="W205" s="2">
        <f>ROUND(W117+W167+AJ205,2)</f>
        <v>0</v>
      </c>
      <c r="X205" s="2">
        <f>ROUND(X117+X167+AK205,2)</f>
        <v>532443.44999999995</v>
      </c>
      <c r="Y205" s="2">
        <f>ROUND(Y117+Y167+AL205,2)</f>
        <v>352040.38</v>
      </c>
      <c r="Z205" s="2"/>
      <c r="AA205" s="2"/>
      <c r="AB205" s="2">
        <f>ROUND(SUMIF(AA80:AA96,"=94798619",O80:O96),2)</f>
        <v>917486.46</v>
      </c>
      <c r="AC205" s="2">
        <f>ROUND(SUMIF(AA80:AA96,"=94798619",P80:P96),2)</f>
        <v>301795.94</v>
      </c>
      <c r="AD205" s="2">
        <f>ROUND(SUMIF(AA80:AA96,"=94798619",Q80:Q96),2)</f>
        <v>197490.62</v>
      </c>
      <c r="AE205" s="2">
        <f>ROUND(SUMIF(AA80:AA96,"=94798619",R80:R96),2)</f>
        <v>54176.65</v>
      </c>
      <c r="AF205" s="2">
        <f>ROUND(SUMIF(AA80:AA96,"=94798619",S80:S96),2)</f>
        <v>418199.9</v>
      </c>
      <c r="AG205" s="2">
        <f>ROUND(SUMIF(AA80:AA96,"=94798619",T80:T96),2)</f>
        <v>0</v>
      </c>
      <c r="AH205" s="2">
        <f>SUMIF(AA80:AA96,"=94798619",U80:U96)</f>
        <v>1366.0261500000001</v>
      </c>
      <c r="AI205" s="2">
        <f>SUMIF(AA80:AA96,"=94798619",V80:V96)</f>
        <v>126.94460000000001</v>
      </c>
      <c r="AJ205" s="2">
        <f>ROUND(SUMIF(AA80:AA96,"=94798619",W80:W96),2)</f>
        <v>0</v>
      </c>
      <c r="AK205" s="2">
        <f>ROUND(SUMIF(AA80:AA96,"=94798619",X80:X96),2)</f>
        <v>519614.21</v>
      </c>
      <c r="AL205" s="2">
        <f>ROUND(SUMIF(AA80:AA96,"=94798619",Y80:Y96),2)</f>
        <v>344834.88</v>
      </c>
      <c r="AM205" s="2"/>
      <c r="AN205" s="2"/>
      <c r="AO205" s="2">
        <f t="shared" ref="AO205:BD205" si="194">ROUND(AO117+AO167+BX205,2)</f>
        <v>0</v>
      </c>
      <c r="AP205" s="2">
        <f t="shared" si="194"/>
        <v>0</v>
      </c>
      <c r="AQ205" s="2">
        <f t="shared" si="194"/>
        <v>0</v>
      </c>
      <c r="AR205" s="2">
        <f t="shared" si="194"/>
        <v>1855314.52</v>
      </c>
      <c r="AS205" s="2">
        <f t="shared" si="194"/>
        <v>1832258.1</v>
      </c>
      <c r="AT205" s="2">
        <f t="shared" si="194"/>
        <v>23056.42</v>
      </c>
      <c r="AU205" s="2">
        <f t="shared" si="194"/>
        <v>0</v>
      </c>
      <c r="AV205" s="2">
        <f t="shared" si="194"/>
        <v>334670.49</v>
      </c>
      <c r="AW205" s="2">
        <f t="shared" si="194"/>
        <v>334670.49</v>
      </c>
      <c r="AX205" s="2">
        <f t="shared" si="194"/>
        <v>0</v>
      </c>
      <c r="AY205" s="2">
        <f t="shared" si="194"/>
        <v>334670.49</v>
      </c>
      <c r="AZ205" s="2">
        <f t="shared" si="194"/>
        <v>0</v>
      </c>
      <c r="BA205" s="2">
        <f t="shared" si="194"/>
        <v>0</v>
      </c>
      <c r="BB205" s="2">
        <f t="shared" si="194"/>
        <v>0</v>
      </c>
      <c r="BC205" s="2">
        <f t="shared" si="194"/>
        <v>0</v>
      </c>
      <c r="BD205" s="2">
        <f t="shared" si="194"/>
        <v>0</v>
      </c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>
        <f>ROUND(SUMIF(AA80:AA96,"=94798619",FQ80:FQ96),2)</f>
        <v>0</v>
      </c>
      <c r="BY205" s="2">
        <f>ROUND(SUMIF(AA80:AA96,"=94798619",FR80:FR96),2)</f>
        <v>0</v>
      </c>
      <c r="BZ205" s="2">
        <f>ROUND(SUMIF(AA80:AA96,"=94798619",GL80:GL96),2)</f>
        <v>0</v>
      </c>
      <c r="CA205" s="2">
        <f>ROUND(SUMIF(AA80:AA96,"=94798619",GM80:GM96),2)</f>
        <v>1781935.55</v>
      </c>
      <c r="CB205" s="2">
        <f>ROUND(SUMIF(AA80:AA96,"=94798619",GN80:GN96),2)</f>
        <v>1781935.55</v>
      </c>
      <c r="CC205" s="2">
        <f>ROUND(SUMIF(AA80:AA96,"=94798619",GO80:GO96),2)</f>
        <v>0</v>
      </c>
      <c r="CD205" s="2">
        <f>ROUND(SUMIF(AA80:AA96,"=94798619",GP80:GP96),2)</f>
        <v>0</v>
      </c>
      <c r="CE205" s="2">
        <f>AC205-BX205</f>
        <v>301795.94</v>
      </c>
      <c r="CF205" s="2">
        <f>AC205-BY205</f>
        <v>301795.94</v>
      </c>
      <c r="CG205" s="2">
        <f>BX205-BZ205</f>
        <v>0</v>
      </c>
      <c r="CH205" s="2">
        <f>AC205-BX205-BY205+BZ205</f>
        <v>301795.94</v>
      </c>
      <c r="CI205" s="2">
        <f>BY205-BZ205</f>
        <v>0</v>
      </c>
      <c r="CJ205" s="2">
        <f>ROUND(SUMIF(AA80:AA96,"=94798619",GX80:GX96),2)</f>
        <v>0</v>
      </c>
      <c r="CK205" s="2">
        <f>ROUND(SUMIF(AA80:AA96,"=94798619",GY80:GY96),2)</f>
        <v>0</v>
      </c>
      <c r="CL205" s="2">
        <f>ROUND(SUMIF(AA80:AA96,"=94798619",GZ80:GZ96),2)</f>
        <v>0</v>
      </c>
      <c r="CM205" s="2">
        <f>ROUND(SUMIF(AA80:AA96,"=94798619",HD80:HD96),2)</f>
        <v>0</v>
      </c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>
        <v>0</v>
      </c>
    </row>
    <row r="207" spans="1:206" x14ac:dyDescent="0.2">
      <c r="A207" s="4">
        <v>50</v>
      </c>
      <c r="B207" s="4">
        <v>0</v>
      </c>
      <c r="C207" s="4">
        <v>0</v>
      </c>
      <c r="D207" s="4">
        <v>1</v>
      </c>
      <c r="E207" s="4">
        <v>201</v>
      </c>
      <c r="F207" s="4">
        <f>ROUND(Source!O205,O207)</f>
        <v>970830.69</v>
      </c>
      <c r="G207" s="4" t="s">
        <v>82</v>
      </c>
      <c r="H207" s="4" t="s">
        <v>83</v>
      </c>
      <c r="I207" s="4"/>
      <c r="J207" s="4"/>
      <c r="K207" s="4">
        <v>201</v>
      </c>
      <c r="L207" s="4">
        <v>1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>
        <v>970830.69</v>
      </c>
      <c r="X207" s="4">
        <v>1</v>
      </c>
      <c r="Y207" s="4">
        <v>970830.69</v>
      </c>
      <c r="Z207" s="4"/>
      <c r="AA207" s="4"/>
      <c r="AB207" s="4"/>
    </row>
    <row r="208" spans="1:206" x14ac:dyDescent="0.2">
      <c r="A208" s="4">
        <v>50</v>
      </c>
      <c r="B208" s="4">
        <v>0</v>
      </c>
      <c r="C208" s="4">
        <v>0</v>
      </c>
      <c r="D208" s="4">
        <v>1</v>
      </c>
      <c r="E208" s="4">
        <v>202</v>
      </c>
      <c r="F208" s="4">
        <f>ROUND(Source!P205,O208)</f>
        <v>334670.49</v>
      </c>
      <c r="G208" s="4" t="s">
        <v>84</v>
      </c>
      <c r="H208" s="4" t="s">
        <v>85</v>
      </c>
      <c r="I208" s="4"/>
      <c r="J208" s="4"/>
      <c r="K208" s="4">
        <v>202</v>
      </c>
      <c r="L208" s="4">
        <v>2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>
        <v>334670.49</v>
      </c>
      <c r="X208" s="4">
        <v>1</v>
      </c>
      <c r="Y208" s="4">
        <v>334670.49</v>
      </c>
      <c r="Z208" s="4"/>
      <c r="AA208" s="4"/>
      <c r="AB208" s="4"/>
    </row>
    <row r="209" spans="1:28" x14ac:dyDescent="0.2">
      <c r="A209" s="4">
        <v>50</v>
      </c>
      <c r="B209" s="4">
        <v>0</v>
      </c>
      <c r="C209" s="4">
        <v>0</v>
      </c>
      <c r="D209" s="4">
        <v>1</v>
      </c>
      <c r="E209" s="4">
        <v>222</v>
      </c>
      <c r="F209" s="4">
        <f>ROUND(Source!AO205,O209)</f>
        <v>0</v>
      </c>
      <c r="G209" s="4" t="s">
        <v>86</v>
      </c>
      <c r="H209" s="4" t="s">
        <v>87</v>
      </c>
      <c r="I209" s="4"/>
      <c r="J209" s="4"/>
      <c r="K209" s="4">
        <v>222</v>
      </c>
      <c r="L209" s="4">
        <v>3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>
        <v>0</v>
      </c>
      <c r="X209" s="4">
        <v>1</v>
      </c>
      <c r="Y209" s="4">
        <v>0</v>
      </c>
      <c r="Z209" s="4"/>
      <c r="AA209" s="4"/>
      <c r="AB209" s="4"/>
    </row>
    <row r="210" spans="1:28" x14ac:dyDescent="0.2">
      <c r="A210" s="4">
        <v>50</v>
      </c>
      <c r="B210" s="4">
        <v>0</v>
      </c>
      <c r="C210" s="4">
        <v>0</v>
      </c>
      <c r="D210" s="4">
        <v>1</v>
      </c>
      <c r="E210" s="4">
        <v>225</v>
      </c>
      <c r="F210" s="4">
        <f>ROUND(Source!AV205,O210)</f>
        <v>334670.49</v>
      </c>
      <c r="G210" s="4" t="s">
        <v>88</v>
      </c>
      <c r="H210" s="4" t="s">
        <v>89</v>
      </c>
      <c r="I210" s="4"/>
      <c r="J210" s="4"/>
      <c r="K210" s="4">
        <v>225</v>
      </c>
      <c r="L210" s="4">
        <v>4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>
        <v>334670.49</v>
      </c>
      <c r="X210" s="4">
        <v>1</v>
      </c>
      <c r="Y210" s="4">
        <v>334670.49</v>
      </c>
      <c r="Z210" s="4"/>
      <c r="AA210" s="4"/>
      <c r="AB210" s="4"/>
    </row>
    <row r="211" spans="1:28" x14ac:dyDescent="0.2">
      <c r="A211" s="4">
        <v>50</v>
      </c>
      <c r="B211" s="4">
        <v>0</v>
      </c>
      <c r="C211" s="4">
        <v>0</v>
      </c>
      <c r="D211" s="4">
        <v>1</v>
      </c>
      <c r="E211" s="4">
        <v>226</v>
      </c>
      <c r="F211" s="4">
        <f>ROUND(Source!AW205,O211)</f>
        <v>334670.49</v>
      </c>
      <c r="G211" s="4" t="s">
        <v>90</v>
      </c>
      <c r="H211" s="4" t="s">
        <v>91</v>
      </c>
      <c r="I211" s="4"/>
      <c r="J211" s="4"/>
      <c r="K211" s="4">
        <v>226</v>
      </c>
      <c r="L211" s="4">
        <v>5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>
        <v>334670.49</v>
      </c>
      <c r="X211" s="4">
        <v>1</v>
      </c>
      <c r="Y211" s="4">
        <v>334670.49</v>
      </c>
      <c r="Z211" s="4"/>
      <c r="AA211" s="4"/>
      <c r="AB211" s="4"/>
    </row>
    <row r="212" spans="1:28" x14ac:dyDescent="0.2">
      <c r="A212" s="4">
        <v>50</v>
      </c>
      <c r="B212" s="4">
        <v>0</v>
      </c>
      <c r="C212" s="4">
        <v>0</v>
      </c>
      <c r="D212" s="4">
        <v>1</v>
      </c>
      <c r="E212" s="4">
        <v>227</v>
      </c>
      <c r="F212" s="4">
        <f>ROUND(Source!AX205,O212)</f>
        <v>0</v>
      </c>
      <c r="G212" s="4" t="s">
        <v>92</v>
      </c>
      <c r="H212" s="4" t="s">
        <v>93</v>
      </c>
      <c r="I212" s="4"/>
      <c r="J212" s="4"/>
      <c r="K212" s="4">
        <v>227</v>
      </c>
      <c r="L212" s="4">
        <v>6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>
        <v>0</v>
      </c>
      <c r="X212" s="4">
        <v>1</v>
      </c>
      <c r="Y212" s="4">
        <v>0</v>
      </c>
      <c r="Z212" s="4"/>
      <c r="AA212" s="4"/>
      <c r="AB212" s="4"/>
    </row>
    <row r="213" spans="1:28" x14ac:dyDescent="0.2">
      <c r="A213" s="4">
        <v>50</v>
      </c>
      <c r="B213" s="4">
        <v>0</v>
      </c>
      <c r="C213" s="4">
        <v>0</v>
      </c>
      <c r="D213" s="4">
        <v>1</v>
      </c>
      <c r="E213" s="4">
        <v>228</v>
      </c>
      <c r="F213" s="4">
        <f>ROUND(Source!AY205,O213)</f>
        <v>334670.49</v>
      </c>
      <c r="G213" s="4" t="s">
        <v>94</v>
      </c>
      <c r="H213" s="4" t="s">
        <v>95</v>
      </c>
      <c r="I213" s="4"/>
      <c r="J213" s="4"/>
      <c r="K213" s="4">
        <v>228</v>
      </c>
      <c r="L213" s="4">
        <v>7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>
        <v>334670.49</v>
      </c>
      <c r="X213" s="4">
        <v>1</v>
      </c>
      <c r="Y213" s="4">
        <v>334670.49</v>
      </c>
      <c r="Z213" s="4"/>
      <c r="AA213" s="4"/>
      <c r="AB213" s="4"/>
    </row>
    <row r="214" spans="1:28" x14ac:dyDescent="0.2">
      <c r="A214" s="4">
        <v>50</v>
      </c>
      <c r="B214" s="4">
        <v>0</v>
      </c>
      <c r="C214" s="4">
        <v>0</v>
      </c>
      <c r="D214" s="4">
        <v>1</v>
      </c>
      <c r="E214" s="4">
        <v>216</v>
      </c>
      <c r="F214" s="4">
        <f>ROUND(Source!AP205,O214)</f>
        <v>0</v>
      </c>
      <c r="G214" s="4" t="s">
        <v>96</v>
      </c>
      <c r="H214" s="4" t="s">
        <v>97</v>
      </c>
      <c r="I214" s="4"/>
      <c r="J214" s="4"/>
      <c r="K214" s="4">
        <v>216</v>
      </c>
      <c r="L214" s="4">
        <v>8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>
        <v>0</v>
      </c>
      <c r="X214" s="4">
        <v>1</v>
      </c>
      <c r="Y214" s="4">
        <v>0</v>
      </c>
      <c r="Z214" s="4"/>
      <c r="AA214" s="4"/>
      <c r="AB214" s="4"/>
    </row>
    <row r="215" spans="1:28" x14ac:dyDescent="0.2">
      <c r="A215" s="4">
        <v>50</v>
      </c>
      <c r="B215" s="4">
        <v>0</v>
      </c>
      <c r="C215" s="4">
        <v>0</v>
      </c>
      <c r="D215" s="4">
        <v>1</v>
      </c>
      <c r="E215" s="4">
        <v>223</v>
      </c>
      <c r="F215" s="4">
        <f>ROUND(Source!AQ205,O215)</f>
        <v>0</v>
      </c>
      <c r="G215" s="4" t="s">
        <v>98</v>
      </c>
      <c r="H215" s="4" t="s">
        <v>99</v>
      </c>
      <c r="I215" s="4"/>
      <c r="J215" s="4"/>
      <c r="K215" s="4">
        <v>223</v>
      </c>
      <c r="L215" s="4">
        <v>9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>
        <v>0</v>
      </c>
      <c r="X215" s="4">
        <v>1</v>
      </c>
      <c r="Y215" s="4">
        <v>0</v>
      </c>
      <c r="Z215" s="4"/>
      <c r="AA215" s="4"/>
      <c r="AB215" s="4"/>
    </row>
    <row r="216" spans="1:28" x14ac:dyDescent="0.2">
      <c r="A216" s="4">
        <v>50</v>
      </c>
      <c r="B216" s="4">
        <v>0</v>
      </c>
      <c r="C216" s="4">
        <v>0</v>
      </c>
      <c r="D216" s="4">
        <v>1</v>
      </c>
      <c r="E216" s="4">
        <v>229</v>
      </c>
      <c r="F216" s="4">
        <f>ROUND(Source!AZ205,O216)</f>
        <v>0</v>
      </c>
      <c r="G216" s="4" t="s">
        <v>100</v>
      </c>
      <c r="H216" s="4" t="s">
        <v>101</v>
      </c>
      <c r="I216" s="4"/>
      <c r="J216" s="4"/>
      <c r="K216" s="4">
        <v>229</v>
      </c>
      <c r="L216" s="4">
        <v>10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>
        <v>0</v>
      </c>
      <c r="X216" s="4">
        <v>1</v>
      </c>
      <c r="Y216" s="4">
        <v>0</v>
      </c>
      <c r="Z216" s="4"/>
      <c r="AA216" s="4"/>
      <c r="AB216" s="4"/>
    </row>
    <row r="217" spans="1:28" x14ac:dyDescent="0.2">
      <c r="A217" s="4">
        <v>50</v>
      </c>
      <c r="B217" s="4">
        <v>0</v>
      </c>
      <c r="C217" s="4">
        <v>0</v>
      </c>
      <c r="D217" s="4">
        <v>1</v>
      </c>
      <c r="E217" s="4">
        <v>203</v>
      </c>
      <c r="F217" s="4">
        <f>ROUND(Source!Q205,O217)</f>
        <v>205094.88</v>
      </c>
      <c r="G217" s="4" t="s">
        <v>102</v>
      </c>
      <c r="H217" s="4" t="s">
        <v>103</v>
      </c>
      <c r="I217" s="4"/>
      <c r="J217" s="4"/>
      <c r="K217" s="4">
        <v>203</v>
      </c>
      <c r="L217" s="4">
        <v>11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>
        <v>205094.88</v>
      </c>
      <c r="X217" s="4">
        <v>1</v>
      </c>
      <c r="Y217" s="4">
        <v>205094.88</v>
      </c>
      <c r="Z217" s="4"/>
      <c r="AA217" s="4"/>
      <c r="AB217" s="4"/>
    </row>
    <row r="218" spans="1:28" x14ac:dyDescent="0.2">
      <c r="A218" s="4">
        <v>50</v>
      </c>
      <c r="B218" s="4">
        <v>0</v>
      </c>
      <c r="C218" s="4">
        <v>0</v>
      </c>
      <c r="D218" s="4">
        <v>1</v>
      </c>
      <c r="E218" s="4">
        <v>231</v>
      </c>
      <c r="F218" s="4">
        <f>ROUND(Source!BB205,O218)</f>
        <v>0</v>
      </c>
      <c r="G218" s="4" t="s">
        <v>104</v>
      </c>
      <c r="H218" s="4" t="s">
        <v>105</v>
      </c>
      <c r="I218" s="4"/>
      <c r="J218" s="4"/>
      <c r="K218" s="4">
        <v>231</v>
      </c>
      <c r="L218" s="4">
        <v>12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>
        <v>0</v>
      </c>
      <c r="X218" s="4">
        <v>1</v>
      </c>
      <c r="Y218" s="4">
        <v>0</v>
      </c>
      <c r="Z218" s="4"/>
      <c r="AA218" s="4"/>
      <c r="AB218" s="4"/>
    </row>
    <row r="219" spans="1:28" x14ac:dyDescent="0.2">
      <c r="A219" s="4">
        <v>50</v>
      </c>
      <c r="B219" s="4">
        <v>0</v>
      </c>
      <c r="C219" s="4">
        <v>0</v>
      </c>
      <c r="D219" s="4">
        <v>1</v>
      </c>
      <c r="E219" s="4">
        <v>204</v>
      </c>
      <c r="F219" s="4">
        <f>ROUND(Source!R205,O219)</f>
        <v>55355.93</v>
      </c>
      <c r="G219" s="4" t="s">
        <v>106</v>
      </c>
      <c r="H219" s="4" t="s">
        <v>107</v>
      </c>
      <c r="I219" s="4"/>
      <c r="J219" s="4"/>
      <c r="K219" s="4">
        <v>204</v>
      </c>
      <c r="L219" s="4">
        <v>13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>
        <v>55355.93</v>
      </c>
      <c r="X219" s="4">
        <v>1</v>
      </c>
      <c r="Y219" s="4">
        <v>55355.93</v>
      </c>
      <c r="Z219" s="4"/>
      <c r="AA219" s="4"/>
      <c r="AB219" s="4"/>
    </row>
    <row r="220" spans="1:28" x14ac:dyDescent="0.2">
      <c r="A220" s="4">
        <v>50</v>
      </c>
      <c r="B220" s="4">
        <v>0</v>
      </c>
      <c r="C220" s="4">
        <v>0</v>
      </c>
      <c r="D220" s="4">
        <v>1</v>
      </c>
      <c r="E220" s="4">
        <v>205</v>
      </c>
      <c r="F220" s="4">
        <f>ROUND(Source!S205,O220)</f>
        <v>431065.32</v>
      </c>
      <c r="G220" s="4" t="s">
        <v>108</v>
      </c>
      <c r="H220" s="4" t="s">
        <v>109</v>
      </c>
      <c r="I220" s="4"/>
      <c r="J220" s="4"/>
      <c r="K220" s="4">
        <v>205</v>
      </c>
      <c r="L220" s="4">
        <v>14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>
        <v>431065.32</v>
      </c>
      <c r="X220" s="4">
        <v>1</v>
      </c>
      <c r="Y220" s="4">
        <v>431065.32</v>
      </c>
      <c r="Z220" s="4"/>
      <c r="AA220" s="4"/>
      <c r="AB220" s="4"/>
    </row>
    <row r="221" spans="1:28" x14ac:dyDescent="0.2">
      <c r="A221" s="4">
        <v>50</v>
      </c>
      <c r="B221" s="4">
        <v>0</v>
      </c>
      <c r="C221" s="4">
        <v>0</v>
      </c>
      <c r="D221" s="4">
        <v>1</v>
      </c>
      <c r="E221" s="4">
        <v>232</v>
      </c>
      <c r="F221" s="4">
        <f>ROUND(Source!BC205,O221)</f>
        <v>0</v>
      </c>
      <c r="G221" s="4" t="s">
        <v>110</v>
      </c>
      <c r="H221" s="4" t="s">
        <v>111</v>
      </c>
      <c r="I221" s="4"/>
      <c r="J221" s="4"/>
      <c r="K221" s="4">
        <v>232</v>
      </c>
      <c r="L221" s="4">
        <v>15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>
        <v>0</v>
      </c>
      <c r="X221" s="4">
        <v>1</v>
      </c>
      <c r="Y221" s="4">
        <v>0</v>
      </c>
      <c r="Z221" s="4"/>
      <c r="AA221" s="4"/>
      <c r="AB221" s="4"/>
    </row>
    <row r="222" spans="1:28" x14ac:dyDescent="0.2">
      <c r="A222" s="4">
        <v>50</v>
      </c>
      <c r="B222" s="4">
        <v>0</v>
      </c>
      <c r="C222" s="4">
        <v>0</v>
      </c>
      <c r="D222" s="4">
        <v>1</v>
      </c>
      <c r="E222" s="4">
        <v>214</v>
      </c>
      <c r="F222" s="4">
        <f>ROUND(Source!AS205,O222)</f>
        <v>1832258.1</v>
      </c>
      <c r="G222" s="4" t="s">
        <v>112</v>
      </c>
      <c r="H222" s="4" t="s">
        <v>113</v>
      </c>
      <c r="I222" s="4"/>
      <c r="J222" s="4"/>
      <c r="K222" s="4">
        <v>214</v>
      </c>
      <c r="L222" s="4">
        <v>16</v>
      </c>
      <c r="M222" s="4">
        <v>3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>
        <v>1832258.1</v>
      </c>
      <c r="X222" s="4">
        <v>1</v>
      </c>
      <c r="Y222" s="4">
        <v>1832258.1</v>
      </c>
      <c r="Z222" s="4"/>
      <c r="AA222" s="4"/>
      <c r="AB222" s="4"/>
    </row>
    <row r="223" spans="1:28" x14ac:dyDescent="0.2">
      <c r="A223" s="4">
        <v>50</v>
      </c>
      <c r="B223" s="4">
        <v>0</v>
      </c>
      <c r="C223" s="4">
        <v>0</v>
      </c>
      <c r="D223" s="4">
        <v>1</v>
      </c>
      <c r="E223" s="4">
        <v>215</v>
      </c>
      <c r="F223" s="4">
        <f>ROUND(Source!AT205,O223)</f>
        <v>23056.42</v>
      </c>
      <c r="G223" s="4" t="s">
        <v>114</v>
      </c>
      <c r="H223" s="4" t="s">
        <v>115</v>
      </c>
      <c r="I223" s="4"/>
      <c r="J223" s="4"/>
      <c r="K223" s="4">
        <v>215</v>
      </c>
      <c r="L223" s="4">
        <v>17</v>
      </c>
      <c r="M223" s="4">
        <v>3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>
        <v>23056.42</v>
      </c>
      <c r="X223" s="4">
        <v>1</v>
      </c>
      <c r="Y223" s="4">
        <v>23056.42</v>
      </c>
      <c r="Z223" s="4"/>
      <c r="AA223" s="4"/>
      <c r="AB223" s="4"/>
    </row>
    <row r="224" spans="1:28" x14ac:dyDescent="0.2">
      <c r="A224" s="4">
        <v>50</v>
      </c>
      <c r="B224" s="4">
        <v>0</v>
      </c>
      <c r="C224" s="4">
        <v>0</v>
      </c>
      <c r="D224" s="4">
        <v>1</v>
      </c>
      <c r="E224" s="4">
        <v>217</v>
      </c>
      <c r="F224" s="4">
        <f>ROUND(Source!AU205,O224)</f>
        <v>0</v>
      </c>
      <c r="G224" s="4" t="s">
        <v>116</v>
      </c>
      <c r="H224" s="4" t="s">
        <v>117</v>
      </c>
      <c r="I224" s="4"/>
      <c r="J224" s="4"/>
      <c r="K224" s="4">
        <v>217</v>
      </c>
      <c r="L224" s="4">
        <v>18</v>
      </c>
      <c r="M224" s="4">
        <v>3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>
        <v>0</v>
      </c>
      <c r="X224" s="4">
        <v>1</v>
      </c>
      <c r="Y224" s="4">
        <v>0</v>
      </c>
      <c r="Z224" s="4"/>
      <c r="AA224" s="4"/>
      <c r="AB224" s="4"/>
    </row>
    <row r="225" spans="1:28" x14ac:dyDescent="0.2">
      <c r="A225" s="4">
        <v>50</v>
      </c>
      <c r="B225" s="4">
        <v>0</v>
      </c>
      <c r="C225" s="4">
        <v>0</v>
      </c>
      <c r="D225" s="4">
        <v>1</v>
      </c>
      <c r="E225" s="4">
        <v>230</v>
      </c>
      <c r="F225" s="4">
        <f>ROUND(Source!BA205,O225)</f>
        <v>0</v>
      </c>
      <c r="G225" s="4" t="s">
        <v>118</v>
      </c>
      <c r="H225" s="4" t="s">
        <v>119</v>
      </c>
      <c r="I225" s="4"/>
      <c r="J225" s="4"/>
      <c r="K225" s="4">
        <v>230</v>
      </c>
      <c r="L225" s="4">
        <v>19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>
        <v>0</v>
      </c>
      <c r="X225" s="4">
        <v>1</v>
      </c>
      <c r="Y225" s="4">
        <v>0</v>
      </c>
      <c r="Z225" s="4"/>
      <c r="AA225" s="4"/>
      <c r="AB225" s="4"/>
    </row>
    <row r="226" spans="1:28" x14ac:dyDescent="0.2">
      <c r="A226" s="4">
        <v>50</v>
      </c>
      <c r="B226" s="4">
        <v>0</v>
      </c>
      <c r="C226" s="4">
        <v>0</v>
      </c>
      <c r="D226" s="4">
        <v>1</v>
      </c>
      <c r="E226" s="4">
        <v>206</v>
      </c>
      <c r="F226" s="4">
        <f>ROUND(Source!T205,O226)</f>
        <v>0</v>
      </c>
      <c r="G226" s="4" t="s">
        <v>120</v>
      </c>
      <c r="H226" s="4" t="s">
        <v>121</v>
      </c>
      <c r="I226" s="4"/>
      <c r="J226" s="4"/>
      <c r="K226" s="4">
        <v>206</v>
      </c>
      <c r="L226" s="4">
        <v>20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>
        <v>0</v>
      </c>
      <c r="X226" s="4">
        <v>1</v>
      </c>
      <c r="Y226" s="4">
        <v>0</v>
      </c>
      <c r="Z226" s="4"/>
      <c r="AA226" s="4"/>
      <c r="AB226" s="4"/>
    </row>
    <row r="227" spans="1:28" x14ac:dyDescent="0.2">
      <c r="A227" s="4">
        <v>50</v>
      </c>
      <c r="B227" s="4">
        <v>0</v>
      </c>
      <c r="C227" s="4">
        <v>0</v>
      </c>
      <c r="D227" s="4">
        <v>1</v>
      </c>
      <c r="E227" s="4">
        <v>207</v>
      </c>
      <c r="F227" s="4">
        <f>Source!U205</f>
        <v>1406.2770600000001</v>
      </c>
      <c r="G227" s="4" t="s">
        <v>122</v>
      </c>
      <c r="H227" s="4" t="s">
        <v>123</v>
      </c>
      <c r="I227" s="4"/>
      <c r="J227" s="4"/>
      <c r="K227" s="4">
        <v>207</v>
      </c>
      <c r="L227" s="4">
        <v>21</v>
      </c>
      <c r="M227" s="4">
        <v>3</v>
      </c>
      <c r="N227" s="4" t="s">
        <v>3</v>
      </c>
      <c r="O227" s="4">
        <v>-1</v>
      </c>
      <c r="P227" s="4"/>
      <c r="Q227" s="4"/>
      <c r="R227" s="4"/>
      <c r="S227" s="4"/>
      <c r="T227" s="4"/>
      <c r="U227" s="4"/>
      <c r="V227" s="4"/>
      <c r="W227" s="4">
        <v>1406.2770600000001</v>
      </c>
      <c r="X227" s="4">
        <v>1</v>
      </c>
      <c r="Y227" s="4">
        <v>1406.2770600000001</v>
      </c>
      <c r="Z227" s="4"/>
      <c r="AA227" s="4"/>
      <c r="AB227" s="4"/>
    </row>
    <row r="228" spans="1:28" x14ac:dyDescent="0.2">
      <c r="A228" s="4">
        <v>50</v>
      </c>
      <c r="B228" s="4">
        <v>0</v>
      </c>
      <c r="C228" s="4">
        <v>0</v>
      </c>
      <c r="D228" s="4">
        <v>1</v>
      </c>
      <c r="E228" s="4">
        <v>208</v>
      </c>
      <c r="F228" s="4">
        <f>Source!V205</f>
        <v>129.71266</v>
      </c>
      <c r="G228" s="4" t="s">
        <v>124</v>
      </c>
      <c r="H228" s="4" t="s">
        <v>125</v>
      </c>
      <c r="I228" s="4"/>
      <c r="J228" s="4"/>
      <c r="K228" s="4">
        <v>208</v>
      </c>
      <c r="L228" s="4">
        <v>22</v>
      </c>
      <c r="M228" s="4">
        <v>3</v>
      </c>
      <c r="N228" s="4" t="s">
        <v>3</v>
      </c>
      <c r="O228" s="4">
        <v>-1</v>
      </c>
      <c r="P228" s="4"/>
      <c r="Q228" s="4"/>
      <c r="R228" s="4"/>
      <c r="S228" s="4"/>
      <c r="T228" s="4"/>
      <c r="U228" s="4"/>
      <c r="V228" s="4"/>
      <c r="W228" s="4">
        <v>129.71266</v>
      </c>
      <c r="X228" s="4">
        <v>1</v>
      </c>
      <c r="Y228" s="4">
        <v>129.71266</v>
      </c>
      <c r="Z228" s="4"/>
      <c r="AA228" s="4"/>
      <c r="AB228" s="4"/>
    </row>
    <row r="229" spans="1:28" x14ac:dyDescent="0.2">
      <c r="A229" s="4">
        <v>50</v>
      </c>
      <c r="B229" s="4">
        <v>0</v>
      </c>
      <c r="C229" s="4">
        <v>0</v>
      </c>
      <c r="D229" s="4">
        <v>1</v>
      </c>
      <c r="E229" s="4">
        <v>209</v>
      </c>
      <c r="F229" s="4">
        <f>ROUND(Source!W205,O229)</f>
        <v>0</v>
      </c>
      <c r="G229" s="4" t="s">
        <v>126</v>
      </c>
      <c r="H229" s="4" t="s">
        <v>127</v>
      </c>
      <c r="I229" s="4"/>
      <c r="J229" s="4"/>
      <c r="K229" s="4">
        <v>209</v>
      </c>
      <c r="L229" s="4">
        <v>23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>
        <v>0</v>
      </c>
      <c r="X229" s="4">
        <v>1</v>
      </c>
      <c r="Y229" s="4">
        <v>0</v>
      </c>
      <c r="Z229" s="4"/>
      <c r="AA229" s="4"/>
      <c r="AB229" s="4"/>
    </row>
    <row r="230" spans="1:28" x14ac:dyDescent="0.2">
      <c r="A230" s="4">
        <v>50</v>
      </c>
      <c r="B230" s="4">
        <v>0</v>
      </c>
      <c r="C230" s="4">
        <v>0</v>
      </c>
      <c r="D230" s="4">
        <v>1</v>
      </c>
      <c r="E230" s="4">
        <v>233</v>
      </c>
      <c r="F230" s="4">
        <f>ROUND(Source!BD205,O230)</f>
        <v>0</v>
      </c>
      <c r="G230" s="4" t="s">
        <v>128</v>
      </c>
      <c r="H230" s="4" t="s">
        <v>129</v>
      </c>
      <c r="I230" s="4"/>
      <c r="J230" s="4"/>
      <c r="K230" s="4">
        <v>233</v>
      </c>
      <c r="L230" s="4">
        <v>24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>
        <v>0</v>
      </c>
      <c r="X230" s="4">
        <v>1</v>
      </c>
      <c r="Y230" s="4">
        <v>0</v>
      </c>
      <c r="Z230" s="4"/>
      <c r="AA230" s="4"/>
      <c r="AB230" s="4"/>
    </row>
    <row r="231" spans="1:28" x14ac:dyDescent="0.2">
      <c r="A231" s="4">
        <v>50</v>
      </c>
      <c r="B231" s="4">
        <v>0</v>
      </c>
      <c r="C231" s="4">
        <v>0</v>
      </c>
      <c r="D231" s="4">
        <v>1</v>
      </c>
      <c r="E231" s="4">
        <v>210</v>
      </c>
      <c r="F231" s="4">
        <f>ROUND(Source!X205,O231)</f>
        <v>532443.44999999995</v>
      </c>
      <c r="G231" s="4" t="s">
        <v>130</v>
      </c>
      <c r="H231" s="4" t="s">
        <v>131</v>
      </c>
      <c r="I231" s="4"/>
      <c r="J231" s="4"/>
      <c r="K231" s="4">
        <v>210</v>
      </c>
      <c r="L231" s="4">
        <v>25</v>
      </c>
      <c r="M231" s="4">
        <v>3</v>
      </c>
      <c r="N231" s="4" t="s">
        <v>3</v>
      </c>
      <c r="O231" s="4">
        <v>2</v>
      </c>
      <c r="P231" s="4"/>
      <c r="Q231" s="4"/>
      <c r="R231" s="4"/>
      <c r="S231" s="4"/>
      <c r="T231" s="4"/>
      <c r="U231" s="4"/>
      <c r="V231" s="4"/>
      <c r="W231" s="4">
        <v>532443.44999999995</v>
      </c>
      <c r="X231" s="4">
        <v>1</v>
      </c>
      <c r="Y231" s="4">
        <v>532443.44999999995</v>
      </c>
      <c r="Z231" s="4"/>
      <c r="AA231" s="4"/>
      <c r="AB231" s="4"/>
    </row>
    <row r="232" spans="1:28" x14ac:dyDescent="0.2">
      <c r="A232" s="4">
        <v>50</v>
      </c>
      <c r="B232" s="4">
        <v>0</v>
      </c>
      <c r="C232" s="4">
        <v>0</v>
      </c>
      <c r="D232" s="4">
        <v>1</v>
      </c>
      <c r="E232" s="4">
        <v>211</v>
      </c>
      <c r="F232" s="4">
        <f>ROUND(Source!Y205,O232)</f>
        <v>352040.38</v>
      </c>
      <c r="G232" s="4" t="s">
        <v>132</v>
      </c>
      <c r="H232" s="4" t="s">
        <v>133</v>
      </c>
      <c r="I232" s="4"/>
      <c r="J232" s="4"/>
      <c r="K232" s="4">
        <v>211</v>
      </c>
      <c r="L232" s="4">
        <v>26</v>
      </c>
      <c r="M232" s="4">
        <v>3</v>
      </c>
      <c r="N232" s="4" t="s">
        <v>3</v>
      </c>
      <c r="O232" s="4">
        <v>2</v>
      </c>
      <c r="P232" s="4"/>
      <c r="Q232" s="4"/>
      <c r="R232" s="4"/>
      <c r="S232" s="4"/>
      <c r="T232" s="4"/>
      <c r="U232" s="4"/>
      <c r="V232" s="4"/>
      <c r="W232" s="4">
        <v>352040.38</v>
      </c>
      <c r="X232" s="4">
        <v>1</v>
      </c>
      <c r="Y232" s="4">
        <v>352040.38</v>
      </c>
      <c r="Z232" s="4"/>
      <c r="AA232" s="4"/>
      <c r="AB232" s="4"/>
    </row>
    <row r="233" spans="1:28" x14ac:dyDescent="0.2">
      <c r="A233" s="4">
        <v>50</v>
      </c>
      <c r="B233" s="4">
        <v>0</v>
      </c>
      <c r="C233" s="4">
        <v>0</v>
      </c>
      <c r="D233" s="4">
        <v>1</v>
      </c>
      <c r="E233" s="4">
        <v>224</v>
      </c>
      <c r="F233" s="4">
        <f>ROUND(Source!AR205,O233)</f>
        <v>1855314.52</v>
      </c>
      <c r="G233" s="4" t="s">
        <v>134</v>
      </c>
      <c r="H233" s="4" t="s">
        <v>135</v>
      </c>
      <c r="I233" s="4"/>
      <c r="J233" s="4"/>
      <c r="K233" s="4">
        <v>224</v>
      </c>
      <c r="L233" s="4">
        <v>27</v>
      </c>
      <c r="M233" s="4">
        <v>3</v>
      </c>
      <c r="N233" s="4" t="s">
        <v>3</v>
      </c>
      <c r="O233" s="4">
        <v>2</v>
      </c>
      <c r="P233" s="4"/>
      <c r="Q233" s="4"/>
      <c r="R233" s="4"/>
      <c r="S233" s="4"/>
      <c r="T233" s="4"/>
      <c r="U233" s="4"/>
      <c r="V233" s="4"/>
      <c r="W233" s="4">
        <v>1855314.52</v>
      </c>
      <c r="X233" s="4">
        <v>1</v>
      </c>
      <c r="Y233" s="4">
        <v>1855314.52</v>
      </c>
      <c r="Z233" s="4"/>
      <c r="AA233" s="4"/>
      <c r="AB233" s="4"/>
    </row>
    <row r="234" spans="1:28" x14ac:dyDescent="0.2">
      <c r="A234" s="4">
        <v>50</v>
      </c>
      <c r="B234" s="4">
        <v>1</v>
      </c>
      <c r="C234" s="4">
        <v>0</v>
      </c>
      <c r="D234" s="4">
        <v>2</v>
      </c>
      <c r="E234" s="4">
        <v>0</v>
      </c>
      <c r="F234" s="4">
        <f>ROUND(F220,O234)</f>
        <v>431065.32</v>
      </c>
      <c r="G234" s="4" t="s">
        <v>136</v>
      </c>
      <c r="H234" s="4" t="s">
        <v>108</v>
      </c>
      <c r="I234" s="4"/>
      <c r="J234" s="4"/>
      <c r="K234" s="4">
        <v>212</v>
      </c>
      <c r="L234" s="4">
        <v>28</v>
      </c>
      <c r="M234" s="4">
        <v>0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>
        <v>431065.32</v>
      </c>
      <c r="X234" s="4">
        <v>1</v>
      </c>
      <c r="Y234" s="4">
        <v>431065.32</v>
      </c>
      <c r="Z234" s="4"/>
      <c r="AA234" s="4"/>
      <c r="AB234" s="4"/>
    </row>
    <row r="235" spans="1:28" x14ac:dyDescent="0.2">
      <c r="A235" s="4">
        <v>50</v>
      </c>
      <c r="B235" s="4">
        <v>1</v>
      </c>
      <c r="C235" s="4">
        <v>0</v>
      </c>
      <c r="D235" s="4">
        <v>2</v>
      </c>
      <c r="E235" s="4">
        <v>0</v>
      </c>
      <c r="F235" s="4">
        <f>ROUND(F217,O235)</f>
        <v>205094.88</v>
      </c>
      <c r="G235" s="4" t="s">
        <v>137</v>
      </c>
      <c r="H235" s="4" t="s">
        <v>138</v>
      </c>
      <c r="I235" s="4"/>
      <c r="J235" s="4"/>
      <c r="K235" s="4">
        <v>212</v>
      </c>
      <c r="L235" s="4">
        <v>29</v>
      </c>
      <c r="M235" s="4">
        <v>0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>
        <v>205094.88</v>
      </c>
      <c r="X235" s="4">
        <v>1</v>
      </c>
      <c r="Y235" s="4">
        <v>205094.88</v>
      </c>
      <c r="Z235" s="4"/>
      <c r="AA235" s="4"/>
      <c r="AB235" s="4"/>
    </row>
    <row r="236" spans="1:28" x14ac:dyDescent="0.2">
      <c r="A236" s="4">
        <v>50</v>
      </c>
      <c r="B236" s="4">
        <v>1</v>
      </c>
      <c r="C236" s="4">
        <v>0</v>
      </c>
      <c r="D236" s="4">
        <v>2</v>
      </c>
      <c r="E236" s="4">
        <v>0</v>
      </c>
      <c r="F236" s="4">
        <f>ROUND(F208,O236)</f>
        <v>334670.49</v>
      </c>
      <c r="G236" s="4" t="s">
        <v>139</v>
      </c>
      <c r="H236" s="4" t="s">
        <v>140</v>
      </c>
      <c r="I236" s="4"/>
      <c r="J236" s="4"/>
      <c r="K236" s="4">
        <v>212</v>
      </c>
      <c r="L236" s="4">
        <v>30</v>
      </c>
      <c r="M236" s="4">
        <v>0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>
        <v>334670.49</v>
      </c>
      <c r="X236" s="4">
        <v>1</v>
      </c>
      <c r="Y236" s="4">
        <v>334670.49</v>
      </c>
      <c r="Z236" s="4"/>
      <c r="AA236" s="4"/>
      <c r="AB236" s="4"/>
    </row>
    <row r="237" spans="1:28" x14ac:dyDescent="0.2">
      <c r="A237" s="4">
        <v>50</v>
      </c>
      <c r="B237" s="4">
        <v>1</v>
      </c>
      <c r="C237" s="4">
        <v>0</v>
      </c>
      <c r="D237" s="4">
        <v>2</v>
      </c>
      <c r="E237" s="4">
        <v>0</v>
      </c>
      <c r="F237" s="4">
        <f>ROUND(F231,O237)</f>
        <v>532443.44999999995</v>
      </c>
      <c r="G237" s="4" t="s">
        <v>141</v>
      </c>
      <c r="H237" s="4" t="s">
        <v>130</v>
      </c>
      <c r="I237" s="4"/>
      <c r="J237" s="4"/>
      <c r="K237" s="4">
        <v>212</v>
      </c>
      <c r="L237" s="4">
        <v>31</v>
      </c>
      <c r="M237" s="4">
        <v>0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>
        <v>532443.44999999995</v>
      </c>
      <c r="X237" s="4">
        <v>1</v>
      </c>
      <c r="Y237" s="4">
        <v>532443.44999999995</v>
      </c>
      <c r="Z237" s="4"/>
      <c r="AA237" s="4"/>
      <c r="AB237" s="4"/>
    </row>
    <row r="238" spans="1:28" x14ac:dyDescent="0.2">
      <c r="A238" s="4">
        <v>50</v>
      </c>
      <c r="B238" s="4">
        <v>1</v>
      </c>
      <c r="C238" s="4">
        <v>0</v>
      </c>
      <c r="D238" s="4">
        <v>2</v>
      </c>
      <c r="E238" s="4">
        <v>0</v>
      </c>
      <c r="F238" s="4">
        <f>ROUND(F232,O238)</f>
        <v>352040.38</v>
      </c>
      <c r="G238" s="4" t="s">
        <v>142</v>
      </c>
      <c r="H238" s="4" t="s">
        <v>143</v>
      </c>
      <c r="I238" s="4"/>
      <c r="J238" s="4"/>
      <c r="K238" s="4">
        <v>212</v>
      </c>
      <c r="L238" s="4">
        <v>32</v>
      </c>
      <c r="M238" s="4">
        <v>0</v>
      </c>
      <c r="N238" s="4" t="s">
        <v>3</v>
      </c>
      <c r="O238" s="4">
        <v>2</v>
      </c>
      <c r="P238" s="4"/>
      <c r="Q238" s="4"/>
      <c r="R238" s="4"/>
      <c r="S238" s="4"/>
      <c r="T238" s="4"/>
      <c r="U238" s="4"/>
      <c r="V238" s="4"/>
      <c r="W238" s="4">
        <v>352040.38</v>
      </c>
      <c r="X238" s="4">
        <v>1</v>
      </c>
      <c r="Y238" s="4">
        <v>352040.38</v>
      </c>
      <c r="Z238" s="4"/>
      <c r="AA238" s="4"/>
      <c r="AB238" s="4"/>
    </row>
    <row r="239" spans="1:28" x14ac:dyDescent="0.2">
      <c r="A239" s="4">
        <v>50</v>
      </c>
      <c r="B239" s="4">
        <v>1</v>
      </c>
      <c r="C239" s="4">
        <v>0</v>
      </c>
      <c r="D239" s="4">
        <v>2</v>
      </c>
      <c r="E239" s="4">
        <v>0</v>
      </c>
      <c r="F239" s="4">
        <f>ROUND(F234+F235+F236+F237+F238,O239)</f>
        <v>1855314.52</v>
      </c>
      <c r="G239" s="4" t="s">
        <v>144</v>
      </c>
      <c r="H239" s="4" t="s">
        <v>134</v>
      </c>
      <c r="I239" s="4"/>
      <c r="J239" s="4"/>
      <c r="K239" s="4">
        <v>212</v>
      </c>
      <c r="L239" s="4">
        <v>33</v>
      </c>
      <c r="M239" s="4">
        <v>0</v>
      </c>
      <c r="N239" s="4" t="s">
        <v>3</v>
      </c>
      <c r="O239" s="4">
        <v>2</v>
      </c>
      <c r="P239" s="4"/>
      <c r="Q239" s="4"/>
      <c r="R239" s="4"/>
      <c r="S239" s="4"/>
      <c r="T239" s="4"/>
      <c r="U239" s="4"/>
      <c r="V239" s="4"/>
      <c r="W239" s="4">
        <v>1855314.52</v>
      </c>
      <c r="X239" s="4">
        <v>1</v>
      </c>
      <c r="Y239" s="4">
        <v>1855314.52</v>
      </c>
      <c r="Z239" s="4"/>
      <c r="AA239" s="4"/>
      <c r="AB239" s="4"/>
    </row>
    <row r="240" spans="1:28" x14ac:dyDescent="0.2">
      <c r="A240" s="4">
        <v>50</v>
      </c>
      <c r="B240" s="4">
        <v>1</v>
      </c>
      <c r="C240" s="4">
        <v>0</v>
      </c>
      <c r="D240" s="4">
        <v>2</v>
      </c>
      <c r="E240" s="4">
        <v>0</v>
      </c>
      <c r="F240" s="4">
        <f>ROUND(F239*0.2,O240)</f>
        <v>371062.9</v>
      </c>
      <c r="G240" s="4" t="s">
        <v>145</v>
      </c>
      <c r="H240" s="4" t="s">
        <v>146</v>
      </c>
      <c r="I240" s="4"/>
      <c r="J240" s="4"/>
      <c r="K240" s="4">
        <v>212</v>
      </c>
      <c r="L240" s="4">
        <v>34</v>
      </c>
      <c r="M240" s="4">
        <v>0</v>
      </c>
      <c r="N240" s="4" t="s">
        <v>3</v>
      </c>
      <c r="O240" s="4">
        <v>2</v>
      </c>
      <c r="P240" s="4"/>
      <c r="Q240" s="4"/>
      <c r="R240" s="4"/>
      <c r="S240" s="4"/>
      <c r="T240" s="4"/>
      <c r="U240" s="4"/>
      <c r="V240" s="4"/>
      <c r="W240" s="4">
        <v>371062.9</v>
      </c>
      <c r="X240" s="4">
        <v>1</v>
      </c>
      <c r="Y240" s="4">
        <v>371062.9</v>
      </c>
      <c r="Z240" s="4"/>
      <c r="AA240" s="4"/>
      <c r="AB240" s="4"/>
    </row>
    <row r="241" spans="1:245" x14ac:dyDescent="0.2">
      <c r="A241" s="4">
        <v>50</v>
      </c>
      <c r="B241" s="4">
        <v>1</v>
      </c>
      <c r="C241" s="4">
        <v>0</v>
      </c>
      <c r="D241" s="4">
        <v>2</v>
      </c>
      <c r="E241" s="4">
        <v>213</v>
      </c>
      <c r="F241" s="4">
        <f>ROUND(F239+F240,O241)</f>
        <v>2226377.42</v>
      </c>
      <c r="G241" s="4" t="s">
        <v>147</v>
      </c>
      <c r="H241" s="4" t="s">
        <v>148</v>
      </c>
      <c r="I241" s="4"/>
      <c r="J241" s="4"/>
      <c r="K241" s="4">
        <v>212</v>
      </c>
      <c r="L241" s="4">
        <v>35</v>
      </c>
      <c r="M241" s="4">
        <v>0</v>
      </c>
      <c r="N241" s="4" t="s">
        <v>3</v>
      </c>
      <c r="O241" s="4">
        <v>2</v>
      </c>
      <c r="P241" s="4"/>
      <c r="Q241" s="4"/>
      <c r="R241" s="4"/>
      <c r="S241" s="4"/>
      <c r="T241" s="4"/>
      <c r="U241" s="4"/>
      <c r="V241" s="4"/>
      <c r="W241" s="4">
        <v>2226377.42</v>
      </c>
      <c r="X241" s="4">
        <v>1</v>
      </c>
      <c r="Y241" s="4">
        <v>2226377.42</v>
      </c>
      <c r="Z241" s="4"/>
      <c r="AA241" s="4"/>
      <c r="AB241" s="4"/>
    </row>
    <row r="243" spans="1:245" x14ac:dyDescent="0.2">
      <c r="A243" s="1">
        <v>4</v>
      </c>
      <c r="B243" s="1">
        <v>1</v>
      </c>
      <c r="C243" s="1"/>
      <c r="D243" s="1">
        <f>ROW(A273)</f>
        <v>273</v>
      </c>
      <c r="E243" s="1"/>
      <c r="F243" s="1" t="s">
        <v>14</v>
      </c>
      <c r="G243" s="1" t="s">
        <v>291</v>
      </c>
      <c r="H243" s="1" t="s">
        <v>3</v>
      </c>
      <c r="I243" s="1">
        <v>0</v>
      </c>
      <c r="J243" s="1"/>
      <c r="K243" s="1">
        <v>0</v>
      </c>
      <c r="L243" s="1"/>
      <c r="M243" s="1" t="s">
        <v>3</v>
      </c>
      <c r="N243" s="1"/>
      <c r="O243" s="1"/>
      <c r="P243" s="1"/>
      <c r="Q243" s="1"/>
      <c r="R243" s="1"/>
      <c r="S243" s="1">
        <v>0</v>
      </c>
      <c r="T243" s="1"/>
      <c r="U243" s="1" t="s">
        <v>3</v>
      </c>
      <c r="V243" s="1">
        <v>0</v>
      </c>
      <c r="W243" s="1"/>
      <c r="X243" s="1"/>
      <c r="Y243" s="1"/>
      <c r="Z243" s="1"/>
      <c r="AA243" s="1"/>
      <c r="AB243" s="1" t="s">
        <v>3</v>
      </c>
      <c r="AC243" s="1" t="s">
        <v>3</v>
      </c>
      <c r="AD243" s="1" t="s">
        <v>3</v>
      </c>
      <c r="AE243" s="1" t="s">
        <v>3</v>
      </c>
      <c r="AF243" s="1" t="s">
        <v>3</v>
      </c>
      <c r="AG243" s="1" t="s">
        <v>3</v>
      </c>
      <c r="AH243" s="1"/>
      <c r="AI243" s="1"/>
      <c r="AJ243" s="1"/>
      <c r="AK243" s="1"/>
      <c r="AL243" s="1"/>
      <c r="AM243" s="1"/>
      <c r="AN243" s="1"/>
      <c r="AO243" s="1"/>
      <c r="AP243" s="1" t="s">
        <v>3</v>
      </c>
      <c r="AQ243" s="1" t="s">
        <v>3</v>
      </c>
      <c r="AR243" s="1" t="s">
        <v>3</v>
      </c>
      <c r="AS243" s="1"/>
      <c r="AT243" s="1"/>
      <c r="AU243" s="1"/>
      <c r="AV243" s="1"/>
      <c r="AW243" s="1"/>
      <c r="AX243" s="1"/>
      <c r="AY243" s="1"/>
      <c r="AZ243" s="1" t="s">
        <v>3</v>
      </c>
      <c r="BA243" s="1"/>
      <c r="BB243" s="1" t="s">
        <v>3</v>
      </c>
      <c r="BC243" s="1" t="s">
        <v>3</v>
      </c>
      <c r="BD243" s="1" t="s">
        <v>3</v>
      </c>
      <c r="BE243" s="1" t="s">
        <v>3</v>
      </c>
      <c r="BF243" s="1" t="s">
        <v>3</v>
      </c>
      <c r="BG243" s="1" t="s">
        <v>3</v>
      </c>
      <c r="BH243" s="1" t="s">
        <v>3</v>
      </c>
      <c r="BI243" s="1" t="s">
        <v>3</v>
      </c>
      <c r="BJ243" s="1" t="s">
        <v>3</v>
      </c>
      <c r="BK243" s="1" t="s">
        <v>3</v>
      </c>
      <c r="BL243" s="1" t="s">
        <v>3</v>
      </c>
      <c r="BM243" s="1" t="s">
        <v>3</v>
      </c>
      <c r="BN243" s="1" t="s">
        <v>3</v>
      </c>
      <c r="BO243" s="1" t="s">
        <v>3</v>
      </c>
      <c r="BP243" s="1" t="s">
        <v>3</v>
      </c>
      <c r="BQ243" s="1"/>
      <c r="BR243" s="1"/>
      <c r="BS243" s="1"/>
      <c r="BT243" s="1"/>
      <c r="BU243" s="1"/>
      <c r="BV243" s="1"/>
      <c r="BW243" s="1"/>
      <c r="BX243" s="1">
        <v>0</v>
      </c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>
        <v>0</v>
      </c>
    </row>
    <row r="245" spans="1:245" x14ac:dyDescent="0.2">
      <c r="A245" s="2">
        <v>52</v>
      </c>
      <c r="B245" s="2">
        <f t="shared" ref="B245:G245" si="195">B273</f>
        <v>1</v>
      </c>
      <c r="C245" s="2">
        <f t="shared" si="195"/>
        <v>4</v>
      </c>
      <c r="D245" s="2">
        <f t="shared" si="195"/>
        <v>243</v>
      </c>
      <c r="E245" s="2">
        <f t="shared" si="195"/>
        <v>0</v>
      </c>
      <c r="F245" s="2" t="str">
        <f t="shared" si="195"/>
        <v>Новый раздел</v>
      </c>
      <c r="G245" s="2" t="str">
        <f t="shared" si="195"/>
        <v>Площадка под ТКО</v>
      </c>
      <c r="H245" s="2"/>
      <c r="I245" s="2"/>
      <c r="J245" s="2"/>
      <c r="K245" s="2"/>
      <c r="L245" s="2"/>
      <c r="M245" s="2"/>
      <c r="N245" s="2"/>
      <c r="O245" s="2">
        <f t="shared" ref="O245:AT245" si="196">O273</f>
        <v>114264.06</v>
      </c>
      <c r="P245" s="2">
        <f t="shared" si="196"/>
        <v>98331.15</v>
      </c>
      <c r="Q245" s="2">
        <f t="shared" si="196"/>
        <v>7442.92</v>
      </c>
      <c r="R245" s="2">
        <f t="shared" si="196"/>
        <v>1987.83</v>
      </c>
      <c r="S245" s="2">
        <f t="shared" si="196"/>
        <v>8489.99</v>
      </c>
      <c r="T245" s="2">
        <f t="shared" si="196"/>
        <v>0</v>
      </c>
      <c r="U245" s="2">
        <f t="shared" si="196"/>
        <v>30.111540000000002</v>
      </c>
      <c r="V245" s="2">
        <f t="shared" si="196"/>
        <v>4.9041870000000003</v>
      </c>
      <c r="W245" s="2">
        <f t="shared" si="196"/>
        <v>0</v>
      </c>
      <c r="X245" s="2">
        <f t="shared" si="196"/>
        <v>9943.0499999999993</v>
      </c>
      <c r="Y245" s="2">
        <f t="shared" si="196"/>
        <v>6322.37</v>
      </c>
      <c r="Z245" s="2">
        <f t="shared" si="196"/>
        <v>0</v>
      </c>
      <c r="AA245" s="2">
        <f t="shared" si="196"/>
        <v>0</v>
      </c>
      <c r="AB245" s="2">
        <f t="shared" si="196"/>
        <v>114264.06</v>
      </c>
      <c r="AC245" s="2">
        <f t="shared" si="196"/>
        <v>98331.15</v>
      </c>
      <c r="AD245" s="2">
        <f t="shared" si="196"/>
        <v>7442.92</v>
      </c>
      <c r="AE245" s="2">
        <f t="shared" si="196"/>
        <v>1987.83</v>
      </c>
      <c r="AF245" s="2">
        <f t="shared" si="196"/>
        <v>8489.99</v>
      </c>
      <c r="AG245" s="2">
        <f t="shared" si="196"/>
        <v>0</v>
      </c>
      <c r="AH245" s="2">
        <f t="shared" si="196"/>
        <v>30.111540000000002</v>
      </c>
      <c r="AI245" s="2">
        <f t="shared" si="196"/>
        <v>4.9041870000000003</v>
      </c>
      <c r="AJ245" s="2">
        <f t="shared" si="196"/>
        <v>0</v>
      </c>
      <c r="AK245" s="2">
        <f t="shared" si="196"/>
        <v>9943.0499999999993</v>
      </c>
      <c r="AL245" s="2">
        <f t="shared" si="196"/>
        <v>6322.37</v>
      </c>
      <c r="AM245" s="2">
        <f t="shared" si="196"/>
        <v>0</v>
      </c>
      <c r="AN245" s="2">
        <f t="shared" si="196"/>
        <v>0</v>
      </c>
      <c r="AO245" s="2">
        <f t="shared" si="196"/>
        <v>0</v>
      </c>
      <c r="AP245" s="2">
        <f t="shared" si="196"/>
        <v>0</v>
      </c>
      <c r="AQ245" s="2">
        <f t="shared" si="196"/>
        <v>0</v>
      </c>
      <c r="AR245" s="2">
        <f t="shared" si="196"/>
        <v>130529.48</v>
      </c>
      <c r="AS245" s="2">
        <f t="shared" si="196"/>
        <v>130529.48</v>
      </c>
      <c r="AT245" s="2">
        <f t="shared" si="196"/>
        <v>0</v>
      </c>
      <c r="AU245" s="2">
        <f t="shared" ref="AU245:BZ245" si="197">AU273</f>
        <v>0</v>
      </c>
      <c r="AV245" s="2">
        <f t="shared" si="197"/>
        <v>98331.15</v>
      </c>
      <c r="AW245" s="2">
        <f t="shared" si="197"/>
        <v>98331.15</v>
      </c>
      <c r="AX245" s="2">
        <f t="shared" si="197"/>
        <v>0</v>
      </c>
      <c r="AY245" s="2">
        <f t="shared" si="197"/>
        <v>98331.15</v>
      </c>
      <c r="AZ245" s="2">
        <f t="shared" si="197"/>
        <v>0</v>
      </c>
      <c r="BA245" s="2">
        <f t="shared" si="197"/>
        <v>0</v>
      </c>
      <c r="BB245" s="2">
        <f t="shared" si="197"/>
        <v>0</v>
      </c>
      <c r="BC245" s="2">
        <f t="shared" si="197"/>
        <v>0</v>
      </c>
      <c r="BD245" s="2">
        <f t="shared" si="197"/>
        <v>467.16</v>
      </c>
      <c r="BE245" s="2">
        <f t="shared" si="197"/>
        <v>0</v>
      </c>
      <c r="BF245" s="2">
        <f t="shared" si="197"/>
        <v>0</v>
      </c>
      <c r="BG245" s="2">
        <f t="shared" si="197"/>
        <v>0</v>
      </c>
      <c r="BH245" s="2">
        <f t="shared" si="197"/>
        <v>0</v>
      </c>
      <c r="BI245" s="2">
        <f t="shared" si="197"/>
        <v>0</v>
      </c>
      <c r="BJ245" s="2">
        <f t="shared" si="197"/>
        <v>0</v>
      </c>
      <c r="BK245" s="2">
        <f t="shared" si="197"/>
        <v>0</v>
      </c>
      <c r="BL245" s="2">
        <f t="shared" si="197"/>
        <v>0</v>
      </c>
      <c r="BM245" s="2">
        <f t="shared" si="197"/>
        <v>0</v>
      </c>
      <c r="BN245" s="2">
        <f t="shared" si="197"/>
        <v>0</v>
      </c>
      <c r="BO245" s="2">
        <f t="shared" si="197"/>
        <v>0</v>
      </c>
      <c r="BP245" s="2">
        <f t="shared" si="197"/>
        <v>0</v>
      </c>
      <c r="BQ245" s="2">
        <f t="shared" si="197"/>
        <v>0</v>
      </c>
      <c r="BR245" s="2">
        <f t="shared" si="197"/>
        <v>0</v>
      </c>
      <c r="BS245" s="2">
        <f t="shared" si="197"/>
        <v>0</v>
      </c>
      <c r="BT245" s="2">
        <f t="shared" si="197"/>
        <v>0</v>
      </c>
      <c r="BU245" s="2">
        <f t="shared" si="197"/>
        <v>0</v>
      </c>
      <c r="BV245" s="2">
        <f t="shared" si="197"/>
        <v>0</v>
      </c>
      <c r="BW245" s="2">
        <f t="shared" si="197"/>
        <v>0</v>
      </c>
      <c r="BX245" s="2">
        <f t="shared" si="197"/>
        <v>0</v>
      </c>
      <c r="BY245" s="2">
        <f t="shared" si="197"/>
        <v>0</v>
      </c>
      <c r="BZ245" s="2">
        <f t="shared" si="197"/>
        <v>0</v>
      </c>
      <c r="CA245" s="2">
        <f t="shared" ref="CA245:DF245" si="198">CA273</f>
        <v>130529.48</v>
      </c>
      <c r="CB245" s="2">
        <f t="shared" si="198"/>
        <v>130529.48</v>
      </c>
      <c r="CC245" s="2">
        <f t="shared" si="198"/>
        <v>0</v>
      </c>
      <c r="CD245" s="2">
        <f t="shared" si="198"/>
        <v>0</v>
      </c>
      <c r="CE245" s="2">
        <f t="shared" si="198"/>
        <v>98331.15</v>
      </c>
      <c r="CF245" s="2">
        <f t="shared" si="198"/>
        <v>98331.15</v>
      </c>
      <c r="CG245" s="2">
        <f t="shared" si="198"/>
        <v>0</v>
      </c>
      <c r="CH245" s="2">
        <f t="shared" si="198"/>
        <v>98331.15</v>
      </c>
      <c r="CI245" s="2">
        <f t="shared" si="198"/>
        <v>0</v>
      </c>
      <c r="CJ245" s="2">
        <f t="shared" si="198"/>
        <v>0</v>
      </c>
      <c r="CK245" s="2">
        <f t="shared" si="198"/>
        <v>0</v>
      </c>
      <c r="CL245" s="2">
        <f t="shared" si="198"/>
        <v>0</v>
      </c>
      <c r="CM245" s="2">
        <f t="shared" si="198"/>
        <v>467.16</v>
      </c>
      <c r="CN245" s="2">
        <f t="shared" si="198"/>
        <v>0</v>
      </c>
      <c r="CO245" s="2">
        <f t="shared" si="198"/>
        <v>0</v>
      </c>
      <c r="CP245" s="2">
        <f t="shared" si="198"/>
        <v>0</v>
      </c>
      <c r="CQ245" s="2">
        <f t="shared" si="198"/>
        <v>0</v>
      </c>
      <c r="CR245" s="2">
        <f t="shared" si="198"/>
        <v>0</v>
      </c>
      <c r="CS245" s="2">
        <f t="shared" si="198"/>
        <v>0</v>
      </c>
      <c r="CT245" s="2">
        <f t="shared" si="198"/>
        <v>0</v>
      </c>
      <c r="CU245" s="2">
        <f t="shared" si="198"/>
        <v>0</v>
      </c>
      <c r="CV245" s="2">
        <f t="shared" si="198"/>
        <v>0</v>
      </c>
      <c r="CW245" s="2">
        <f t="shared" si="198"/>
        <v>0</v>
      </c>
      <c r="CX245" s="2">
        <f t="shared" si="198"/>
        <v>0</v>
      </c>
      <c r="CY245" s="2">
        <f t="shared" si="198"/>
        <v>0</v>
      </c>
      <c r="CZ245" s="2">
        <f t="shared" si="198"/>
        <v>0</v>
      </c>
      <c r="DA245" s="2">
        <f t="shared" si="198"/>
        <v>0</v>
      </c>
      <c r="DB245" s="2">
        <f t="shared" si="198"/>
        <v>0</v>
      </c>
      <c r="DC245" s="2">
        <f t="shared" si="198"/>
        <v>0</v>
      </c>
      <c r="DD245" s="2">
        <f t="shared" si="198"/>
        <v>0</v>
      </c>
      <c r="DE245" s="2">
        <f t="shared" si="198"/>
        <v>0</v>
      </c>
      <c r="DF245" s="2">
        <f t="shared" si="198"/>
        <v>0</v>
      </c>
      <c r="DG245" s="3">
        <f t="shared" ref="DG245:EL245" si="199">DG273</f>
        <v>0</v>
      </c>
      <c r="DH245" s="3">
        <f t="shared" si="199"/>
        <v>0</v>
      </c>
      <c r="DI245" s="3">
        <f t="shared" si="199"/>
        <v>0</v>
      </c>
      <c r="DJ245" s="3">
        <f t="shared" si="199"/>
        <v>0</v>
      </c>
      <c r="DK245" s="3">
        <f t="shared" si="199"/>
        <v>0</v>
      </c>
      <c r="DL245" s="3">
        <f t="shared" si="199"/>
        <v>0</v>
      </c>
      <c r="DM245" s="3">
        <f t="shared" si="199"/>
        <v>0</v>
      </c>
      <c r="DN245" s="3">
        <f t="shared" si="199"/>
        <v>0</v>
      </c>
      <c r="DO245" s="3">
        <f t="shared" si="199"/>
        <v>0</v>
      </c>
      <c r="DP245" s="3">
        <f t="shared" si="199"/>
        <v>0</v>
      </c>
      <c r="DQ245" s="3">
        <f t="shared" si="199"/>
        <v>0</v>
      </c>
      <c r="DR245" s="3">
        <f t="shared" si="199"/>
        <v>0</v>
      </c>
      <c r="DS245" s="3">
        <f t="shared" si="199"/>
        <v>0</v>
      </c>
      <c r="DT245" s="3">
        <f t="shared" si="199"/>
        <v>0</v>
      </c>
      <c r="DU245" s="3">
        <f t="shared" si="199"/>
        <v>0</v>
      </c>
      <c r="DV245" s="3">
        <f t="shared" si="199"/>
        <v>0</v>
      </c>
      <c r="DW245" s="3">
        <f t="shared" si="199"/>
        <v>0</v>
      </c>
      <c r="DX245" s="3">
        <f t="shared" si="199"/>
        <v>0</v>
      </c>
      <c r="DY245" s="3">
        <f t="shared" si="199"/>
        <v>0</v>
      </c>
      <c r="DZ245" s="3">
        <f t="shared" si="199"/>
        <v>0</v>
      </c>
      <c r="EA245" s="3">
        <f t="shared" si="199"/>
        <v>0</v>
      </c>
      <c r="EB245" s="3">
        <f t="shared" si="199"/>
        <v>0</v>
      </c>
      <c r="EC245" s="3">
        <f t="shared" si="199"/>
        <v>0</v>
      </c>
      <c r="ED245" s="3">
        <f t="shared" si="199"/>
        <v>0</v>
      </c>
      <c r="EE245" s="3">
        <f t="shared" si="199"/>
        <v>0</v>
      </c>
      <c r="EF245" s="3">
        <f t="shared" si="199"/>
        <v>0</v>
      </c>
      <c r="EG245" s="3">
        <f t="shared" si="199"/>
        <v>0</v>
      </c>
      <c r="EH245" s="3">
        <f t="shared" si="199"/>
        <v>0</v>
      </c>
      <c r="EI245" s="3">
        <f t="shared" si="199"/>
        <v>0</v>
      </c>
      <c r="EJ245" s="3">
        <f t="shared" si="199"/>
        <v>0</v>
      </c>
      <c r="EK245" s="3">
        <f t="shared" si="199"/>
        <v>0</v>
      </c>
      <c r="EL245" s="3">
        <f t="shared" si="199"/>
        <v>0</v>
      </c>
      <c r="EM245" s="3">
        <f t="shared" ref="EM245:FR245" si="200">EM273</f>
        <v>0</v>
      </c>
      <c r="EN245" s="3">
        <f t="shared" si="200"/>
        <v>0</v>
      </c>
      <c r="EO245" s="3">
        <f t="shared" si="200"/>
        <v>0</v>
      </c>
      <c r="EP245" s="3">
        <f t="shared" si="200"/>
        <v>0</v>
      </c>
      <c r="EQ245" s="3">
        <f t="shared" si="200"/>
        <v>0</v>
      </c>
      <c r="ER245" s="3">
        <f t="shared" si="200"/>
        <v>0</v>
      </c>
      <c r="ES245" s="3">
        <f t="shared" si="200"/>
        <v>0</v>
      </c>
      <c r="ET245" s="3">
        <f t="shared" si="200"/>
        <v>0</v>
      </c>
      <c r="EU245" s="3">
        <f t="shared" si="200"/>
        <v>0</v>
      </c>
      <c r="EV245" s="3">
        <f t="shared" si="200"/>
        <v>0</v>
      </c>
      <c r="EW245" s="3">
        <f t="shared" si="200"/>
        <v>0</v>
      </c>
      <c r="EX245" s="3">
        <f t="shared" si="200"/>
        <v>0</v>
      </c>
      <c r="EY245" s="3">
        <f t="shared" si="200"/>
        <v>0</v>
      </c>
      <c r="EZ245" s="3">
        <f t="shared" si="200"/>
        <v>0</v>
      </c>
      <c r="FA245" s="3">
        <f t="shared" si="200"/>
        <v>0</v>
      </c>
      <c r="FB245" s="3">
        <f t="shared" si="200"/>
        <v>0</v>
      </c>
      <c r="FC245" s="3">
        <f t="shared" si="200"/>
        <v>0</v>
      </c>
      <c r="FD245" s="3">
        <f t="shared" si="200"/>
        <v>0</v>
      </c>
      <c r="FE245" s="3">
        <f t="shared" si="200"/>
        <v>0</v>
      </c>
      <c r="FF245" s="3">
        <f t="shared" si="200"/>
        <v>0</v>
      </c>
      <c r="FG245" s="3">
        <f t="shared" si="200"/>
        <v>0</v>
      </c>
      <c r="FH245" s="3">
        <f t="shared" si="200"/>
        <v>0</v>
      </c>
      <c r="FI245" s="3">
        <f t="shared" si="200"/>
        <v>0</v>
      </c>
      <c r="FJ245" s="3">
        <f t="shared" si="200"/>
        <v>0</v>
      </c>
      <c r="FK245" s="3">
        <f t="shared" si="200"/>
        <v>0</v>
      </c>
      <c r="FL245" s="3">
        <f t="shared" si="200"/>
        <v>0</v>
      </c>
      <c r="FM245" s="3">
        <f t="shared" si="200"/>
        <v>0</v>
      </c>
      <c r="FN245" s="3">
        <f t="shared" si="200"/>
        <v>0</v>
      </c>
      <c r="FO245" s="3">
        <f t="shared" si="200"/>
        <v>0</v>
      </c>
      <c r="FP245" s="3">
        <f t="shared" si="200"/>
        <v>0</v>
      </c>
      <c r="FQ245" s="3">
        <f t="shared" si="200"/>
        <v>0</v>
      </c>
      <c r="FR245" s="3">
        <f t="shared" si="200"/>
        <v>0</v>
      </c>
      <c r="FS245" s="3">
        <f t="shared" ref="FS245:GX245" si="201">FS273</f>
        <v>0</v>
      </c>
      <c r="FT245" s="3">
        <f t="shared" si="201"/>
        <v>0</v>
      </c>
      <c r="FU245" s="3">
        <f t="shared" si="201"/>
        <v>0</v>
      </c>
      <c r="FV245" s="3">
        <f t="shared" si="201"/>
        <v>0</v>
      </c>
      <c r="FW245" s="3">
        <f t="shared" si="201"/>
        <v>0</v>
      </c>
      <c r="FX245" s="3">
        <f t="shared" si="201"/>
        <v>0</v>
      </c>
      <c r="FY245" s="3">
        <f t="shared" si="201"/>
        <v>0</v>
      </c>
      <c r="FZ245" s="3">
        <f t="shared" si="201"/>
        <v>0</v>
      </c>
      <c r="GA245" s="3">
        <f t="shared" si="201"/>
        <v>0</v>
      </c>
      <c r="GB245" s="3">
        <f t="shared" si="201"/>
        <v>0</v>
      </c>
      <c r="GC245" s="3">
        <f t="shared" si="201"/>
        <v>0</v>
      </c>
      <c r="GD245" s="3">
        <f t="shared" si="201"/>
        <v>0</v>
      </c>
      <c r="GE245" s="3">
        <f t="shared" si="201"/>
        <v>0</v>
      </c>
      <c r="GF245" s="3">
        <f t="shared" si="201"/>
        <v>0</v>
      </c>
      <c r="GG245" s="3">
        <f t="shared" si="201"/>
        <v>0</v>
      </c>
      <c r="GH245" s="3">
        <f t="shared" si="201"/>
        <v>0</v>
      </c>
      <c r="GI245" s="3">
        <f t="shared" si="201"/>
        <v>0</v>
      </c>
      <c r="GJ245" s="3">
        <f t="shared" si="201"/>
        <v>0</v>
      </c>
      <c r="GK245" s="3">
        <f t="shared" si="201"/>
        <v>0</v>
      </c>
      <c r="GL245" s="3">
        <f t="shared" si="201"/>
        <v>0</v>
      </c>
      <c r="GM245" s="3">
        <f t="shared" si="201"/>
        <v>0</v>
      </c>
      <c r="GN245" s="3">
        <f t="shared" si="201"/>
        <v>0</v>
      </c>
      <c r="GO245" s="3">
        <f t="shared" si="201"/>
        <v>0</v>
      </c>
      <c r="GP245" s="3">
        <f t="shared" si="201"/>
        <v>0</v>
      </c>
      <c r="GQ245" s="3">
        <f t="shared" si="201"/>
        <v>0</v>
      </c>
      <c r="GR245" s="3">
        <f t="shared" si="201"/>
        <v>0</v>
      </c>
      <c r="GS245" s="3">
        <f t="shared" si="201"/>
        <v>0</v>
      </c>
      <c r="GT245" s="3">
        <f t="shared" si="201"/>
        <v>0</v>
      </c>
      <c r="GU245" s="3">
        <f t="shared" si="201"/>
        <v>0</v>
      </c>
      <c r="GV245" s="3">
        <f t="shared" si="201"/>
        <v>0</v>
      </c>
      <c r="GW245" s="3">
        <f t="shared" si="201"/>
        <v>0</v>
      </c>
      <c r="GX245" s="3">
        <f t="shared" si="201"/>
        <v>0</v>
      </c>
    </row>
    <row r="247" spans="1:245" x14ac:dyDescent="0.2">
      <c r="A247">
        <v>17</v>
      </c>
      <c r="B247">
        <v>1</v>
      </c>
      <c r="C247">
        <f>ROW(SmtRes!A137)</f>
        <v>137</v>
      </c>
      <c r="D247">
        <f>ROW(EtalonRes!A137)</f>
        <v>137</v>
      </c>
      <c r="E247" t="s">
        <v>292</v>
      </c>
      <c r="F247" t="s">
        <v>293</v>
      </c>
      <c r="G247" t="s">
        <v>294</v>
      </c>
      <c r="H247" t="s">
        <v>295</v>
      </c>
      <c r="I247">
        <f>ROUND(2.76/100,9)</f>
        <v>2.76E-2</v>
      </c>
      <c r="J247">
        <v>0</v>
      </c>
      <c r="K247">
        <f>ROUND(2.76/100,9)</f>
        <v>2.76E-2</v>
      </c>
      <c r="O247">
        <f t="shared" ref="O247:O271" si="202">ROUND(CP247,2)</f>
        <v>837.38</v>
      </c>
      <c r="P247">
        <f t="shared" ref="P247:P271" si="203">ROUND(CQ247*I247,2)</f>
        <v>0</v>
      </c>
      <c r="Q247">
        <f t="shared" ref="Q247:Q271" si="204">ROUND(CR247*I247,2)</f>
        <v>0</v>
      </c>
      <c r="R247">
        <f t="shared" ref="R247:R271" si="205">ROUND(CS247*I247,2)</f>
        <v>0</v>
      </c>
      <c r="S247">
        <f t="shared" ref="S247:S271" si="206">ROUND(CT247*I247,2)</f>
        <v>837.38</v>
      </c>
      <c r="T247">
        <f t="shared" ref="T247:T271" si="207">ROUND(CU247*I247,2)</f>
        <v>0</v>
      </c>
      <c r="U247">
        <f t="shared" ref="U247:U271" si="208">CV247*I247</f>
        <v>3.2568000000000001</v>
      </c>
      <c r="V247">
        <f t="shared" ref="V247:V271" si="209">CW247*I247</f>
        <v>0</v>
      </c>
      <c r="W247">
        <f t="shared" ref="W247:W271" si="210">ROUND(CX247*I247,2)</f>
        <v>0</v>
      </c>
      <c r="X247">
        <f t="shared" ref="X247:X271" si="211">ROUND(CY247,2)</f>
        <v>745.27</v>
      </c>
      <c r="Y247">
        <f t="shared" ref="Y247:Y271" si="212">ROUND(CZ247,2)</f>
        <v>334.95</v>
      </c>
      <c r="AA247">
        <v>94798619</v>
      </c>
      <c r="AB247">
        <f t="shared" ref="AB247:AB271" si="213">ROUND((AC247+AD247+AF247),2)</f>
        <v>860.22</v>
      </c>
      <c r="AC247">
        <f t="shared" ref="AC247:AC271" si="214">ROUND((ES247),2)</f>
        <v>0</v>
      </c>
      <c r="AD247">
        <f t="shared" ref="AD247:AD271" si="215">ROUND((((ET247)-(EU247))+AE247),2)</f>
        <v>0</v>
      </c>
      <c r="AE247">
        <f t="shared" ref="AE247:AE271" si="216">ROUND((EU247),2)</f>
        <v>0</v>
      </c>
      <c r="AF247">
        <f t="shared" ref="AF247:AF271" si="217">ROUND((EV247),2)</f>
        <v>860.22</v>
      </c>
      <c r="AG247">
        <f t="shared" ref="AG247:AG271" si="218">ROUND((AP247),2)</f>
        <v>0</v>
      </c>
      <c r="AH247">
        <f t="shared" ref="AH247:AH271" si="219">(EW247)</f>
        <v>118</v>
      </c>
      <c r="AI247">
        <f t="shared" ref="AI247:AI271" si="220">(EX247)</f>
        <v>0</v>
      </c>
      <c r="AJ247">
        <f t="shared" ref="AJ247:AJ271" si="221">(AS247)</f>
        <v>0</v>
      </c>
      <c r="AK247">
        <v>860.22</v>
      </c>
      <c r="AL247">
        <v>0</v>
      </c>
      <c r="AM247">
        <v>0</v>
      </c>
      <c r="AN247">
        <v>0</v>
      </c>
      <c r="AO247">
        <v>860.22</v>
      </c>
      <c r="AP247">
        <v>0</v>
      </c>
      <c r="AQ247">
        <v>118</v>
      </c>
      <c r="AR247">
        <v>0</v>
      </c>
      <c r="AS247">
        <v>0</v>
      </c>
      <c r="AT247">
        <v>89</v>
      </c>
      <c r="AU247">
        <v>40</v>
      </c>
      <c r="AV247">
        <v>1</v>
      </c>
      <c r="AW247">
        <v>1</v>
      </c>
      <c r="AZ247">
        <v>1</v>
      </c>
      <c r="BA247">
        <v>35.270000000000003</v>
      </c>
      <c r="BB247">
        <v>1</v>
      </c>
      <c r="BC247">
        <v>1</v>
      </c>
      <c r="BD247" t="s">
        <v>3</v>
      </c>
      <c r="BE247" t="s">
        <v>3</v>
      </c>
      <c r="BF247" t="s">
        <v>3</v>
      </c>
      <c r="BG247" t="s">
        <v>3</v>
      </c>
      <c r="BH247">
        <v>0</v>
      </c>
      <c r="BI247">
        <v>1</v>
      </c>
      <c r="BJ247" t="s">
        <v>296</v>
      </c>
      <c r="BM247">
        <v>1003</v>
      </c>
      <c r="BN247">
        <v>0</v>
      </c>
      <c r="BO247" t="s">
        <v>293</v>
      </c>
      <c r="BP247">
        <v>1</v>
      </c>
      <c r="BQ247">
        <v>2</v>
      </c>
      <c r="BR247">
        <v>0</v>
      </c>
      <c r="BS247">
        <v>35.270000000000003</v>
      </c>
      <c r="BT247">
        <v>1</v>
      </c>
      <c r="BU247">
        <v>1</v>
      </c>
      <c r="BV247">
        <v>1</v>
      </c>
      <c r="BW247">
        <v>1</v>
      </c>
      <c r="BX247">
        <v>1</v>
      </c>
      <c r="BY247" t="s">
        <v>3</v>
      </c>
      <c r="BZ247">
        <v>89</v>
      </c>
      <c r="CA247">
        <v>40</v>
      </c>
      <c r="CB247" t="s">
        <v>3</v>
      </c>
      <c r="CE247">
        <v>0</v>
      </c>
      <c r="CF247">
        <v>0</v>
      </c>
      <c r="CG247">
        <v>0</v>
      </c>
      <c r="CM247">
        <v>0</v>
      </c>
      <c r="CN247" t="s">
        <v>3</v>
      </c>
      <c r="CO247">
        <v>0</v>
      </c>
      <c r="CP247">
        <f t="shared" ref="CP247:CP271" si="222">(P247+Q247+S247)</f>
        <v>837.38</v>
      </c>
      <c r="CQ247">
        <f t="shared" ref="CQ247:CQ271" si="223">AC247*BC247</f>
        <v>0</v>
      </c>
      <c r="CR247">
        <f t="shared" ref="CR247:CR271" si="224">(((ET247)*BB247-(EU247)*BS247)+AE247*BS247)</f>
        <v>0</v>
      </c>
      <c r="CS247">
        <f t="shared" ref="CS247:CS271" si="225">AE247*BS247</f>
        <v>0</v>
      </c>
      <c r="CT247">
        <f t="shared" ref="CT247:CT271" si="226">AF247*BA247</f>
        <v>30339.959400000003</v>
      </c>
      <c r="CU247">
        <f t="shared" ref="CU247:CU271" si="227">AG247</f>
        <v>0</v>
      </c>
      <c r="CV247">
        <f t="shared" ref="CV247:CV271" si="228">AH247</f>
        <v>118</v>
      </c>
      <c r="CW247">
        <f t="shared" ref="CW247:CW271" si="229">AI247</f>
        <v>0</v>
      </c>
      <c r="CX247">
        <f t="shared" ref="CX247:CX271" si="230">AJ247</f>
        <v>0</v>
      </c>
      <c r="CY247">
        <f>(((S247+R247)*AT247)/100)</f>
        <v>745.26819999999998</v>
      </c>
      <c r="CZ247">
        <f>(((S247+R247)*AU247)/100)</f>
        <v>334.952</v>
      </c>
      <c r="DC247" t="s">
        <v>3</v>
      </c>
      <c r="DD247" t="s">
        <v>3</v>
      </c>
      <c r="DE247" t="s">
        <v>3</v>
      </c>
      <c r="DF247" t="s">
        <v>3</v>
      </c>
      <c r="DG247" t="s">
        <v>3</v>
      </c>
      <c r="DH247" t="s">
        <v>3</v>
      </c>
      <c r="DI247" t="s">
        <v>3</v>
      </c>
      <c r="DJ247" t="s">
        <v>3</v>
      </c>
      <c r="DK247" t="s">
        <v>3</v>
      </c>
      <c r="DL247" t="s">
        <v>3</v>
      </c>
      <c r="DM247" t="s">
        <v>3</v>
      </c>
      <c r="DN247">
        <v>0</v>
      </c>
      <c r="DO247">
        <v>0</v>
      </c>
      <c r="DP247">
        <v>1</v>
      </c>
      <c r="DQ247">
        <v>1</v>
      </c>
      <c r="DU247">
        <v>1013</v>
      </c>
      <c r="DV247" t="s">
        <v>295</v>
      </c>
      <c r="DW247" t="s">
        <v>295</v>
      </c>
      <c r="DX247">
        <v>1</v>
      </c>
      <c r="DZ247" t="s">
        <v>3</v>
      </c>
      <c r="EA247" t="s">
        <v>3</v>
      </c>
      <c r="EB247" t="s">
        <v>3</v>
      </c>
      <c r="EC247" t="s">
        <v>3</v>
      </c>
      <c r="EE247">
        <v>92109375</v>
      </c>
      <c r="EF247">
        <v>2</v>
      </c>
      <c r="EG247" t="s">
        <v>21</v>
      </c>
      <c r="EH247">
        <v>1</v>
      </c>
      <c r="EI247" t="s">
        <v>22</v>
      </c>
      <c r="EJ247">
        <v>1</v>
      </c>
      <c r="EK247">
        <v>1003</v>
      </c>
      <c r="EL247" t="s">
        <v>297</v>
      </c>
      <c r="EM247" t="s">
        <v>24</v>
      </c>
      <c r="EO247" t="s">
        <v>3</v>
      </c>
      <c r="EQ247">
        <v>0</v>
      </c>
      <c r="ER247">
        <v>860.22</v>
      </c>
      <c r="ES247">
        <v>0</v>
      </c>
      <c r="ET247">
        <v>0</v>
      </c>
      <c r="EU247">
        <v>0</v>
      </c>
      <c r="EV247">
        <v>860.22</v>
      </c>
      <c r="EW247">
        <v>118</v>
      </c>
      <c r="EX247">
        <v>0</v>
      </c>
      <c r="EY247">
        <v>0</v>
      </c>
      <c r="FQ247">
        <v>0</v>
      </c>
      <c r="FR247">
        <f t="shared" ref="FR247:FR271" si="231">ROUND(IF(BI247=3,GM247,0),2)</f>
        <v>0</v>
      </c>
      <c r="FS247">
        <v>0</v>
      </c>
      <c r="FX247">
        <v>89</v>
      </c>
      <c r="FY247">
        <v>40</v>
      </c>
      <c r="GA247" t="s">
        <v>3</v>
      </c>
      <c r="GD247">
        <v>1</v>
      </c>
      <c r="GF247">
        <v>1669989945</v>
      </c>
      <c r="GG247">
        <v>2</v>
      </c>
      <c r="GH247">
        <v>1</v>
      </c>
      <c r="GI247">
        <v>2</v>
      </c>
      <c r="GJ247">
        <v>0</v>
      </c>
      <c r="GK247">
        <v>0</v>
      </c>
      <c r="GL247">
        <f t="shared" ref="GL247:GL271" si="232">ROUND(IF(AND(BH247=3,BI247=3,FS247&lt;&gt;0),P247,0),2)</f>
        <v>0</v>
      </c>
      <c r="GM247">
        <f t="shared" ref="GM247:GM271" si="233">ROUND(O247+X247+Y247,2)+GX247</f>
        <v>1917.6</v>
      </c>
      <c r="GN247">
        <f t="shared" ref="GN247:GN271" si="234">IF(OR(BI247=0,BI247=1),GM247-GX247,0)</f>
        <v>1917.6</v>
      </c>
      <c r="GO247">
        <f t="shared" ref="GO247:GO271" si="235">IF(BI247=2,GM247-GX247,0)</f>
        <v>0</v>
      </c>
      <c r="GP247">
        <f t="shared" ref="GP247:GP271" si="236">IF(BI247=4,GM247-GX247,0)</f>
        <v>0</v>
      </c>
      <c r="GR247">
        <v>0</v>
      </c>
      <c r="GS247">
        <v>3</v>
      </c>
      <c r="GT247">
        <v>0</v>
      </c>
      <c r="GU247" t="s">
        <v>3</v>
      </c>
      <c r="GV247">
        <f t="shared" ref="GV247:GV271" si="237">ROUND((GT247),2)</f>
        <v>0</v>
      </c>
      <c r="GW247">
        <v>1</v>
      </c>
      <c r="GX247">
        <f t="shared" ref="GX247:GX271" si="238">ROUND(HC247*I247,2)</f>
        <v>0</v>
      </c>
      <c r="HA247">
        <v>0</v>
      </c>
      <c r="HB247">
        <v>0</v>
      </c>
      <c r="HC247">
        <f t="shared" ref="HC247:HC271" si="239">GV247*GW247</f>
        <v>0</v>
      </c>
      <c r="HE247" t="s">
        <v>3</v>
      </c>
      <c r="HF247" t="s">
        <v>3</v>
      </c>
      <c r="HM247" t="s">
        <v>3</v>
      </c>
      <c r="HN247" t="s">
        <v>298</v>
      </c>
      <c r="HO247" t="s">
        <v>299</v>
      </c>
      <c r="HP247" t="s">
        <v>297</v>
      </c>
      <c r="HQ247" t="s">
        <v>297</v>
      </c>
      <c r="IK247">
        <v>0</v>
      </c>
    </row>
    <row r="248" spans="1:245" x14ac:dyDescent="0.2">
      <c r="A248">
        <v>17</v>
      </c>
      <c r="B248">
        <v>1</v>
      </c>
      <c r="C248">
        <f>ROW(SmtRes!A138)</f>
        <v>138</v>
      </c>
      <c r="D248">
        <f>ROW(EtalonRes!A138)</f>
        <v>138</v>
      </c>
      <c r="E248" t="s">
        <v>300</v>
      </c>
      <c r="F248" t="s">
        <v>301</v>
      </c>
      <c r="G248" t="s">
        <v>302</v>
      </c>
      <c r="H248" t="s">
        <v>303</v>
      </c>
      <c r="I248">
        <f>ROUND(2.76/100,9)</f>
        <v>2.76E-2</v>
      </c>
      <c r="J248">
        <v>0</v>
      </c>
      <c r="K248">
        <f>ROUND(2.76/100,9)</f>
        <v>2.76E-2</v>
      </c>
      <c r="O248">
        <f t="shared" si="202"/>
        <v>365.49</v>
      </c>
      <c r="P248">
        <f t="shared" si="203"/>
        <v>0</v>
      </c>
      <c r="Q248">
        <f t="shared" si="204"/>
        <v>0</v>
      </c>
      <c r="R248">
        <f t="shared" si="205"/>
        <v>0</v>
      </c>
      <c r="S248">
        <f t="shared" si="206"/>
        <v>365.49</v>
      </c>
      <c r="T248">
        <f t="shared" si="207"/>
        <v>0</v>
      </c>
      <c r="U248">
        <f t="shared" si="208"/>
        <v>1.478256</v>
      </c>
      <c r="V248">
        <f t="shared" si="209"/>
        <v>0</v>
      </c>
      <c r="W248">
        <f t="shared" si="210"/>
        <v>0</v>
      </c>
      <c r="X248">
        <f t="shared" si="211"/>
        <v>325.29000000000002</v>
      </c>
      <c r="Y248">
        <f t="shared" si="212"/>
        <v>146.19999999999999</v>
      </c>
      <c r="AA248">
        <v>94798619</v>
      </c>
      <c r="AB248">
        <f t="shared" si="213"/>
        <v>375.46</v>
      </c>
      <c r="AC248">
        <f t="shared" si="214"/>
        <v>0</v>
      </c>
      <c r="AD248">
        <f t="shared" si="215"/>
        <v>0</v>
      </c>
      <c r="AE248">
        <f t="shared" si="216"/>
        <v>0</v>
      </c>
      <c r="AF248">
        <f t="shared" si="217"/>
        <v>375.46</v>
      </c>
      <c r="AG248">
        <f t="shared" si="218"/>
        <v>0</v>
      </c>
      <c r="AH248">
        <f t="shared" si="219"/>
        <v>53.56</v>
      </c>
      <c r="AI248">
        <f t="shared" si="220"/>
        <v>0</v>
      </c>
      <c r="AJ248">
        <f t="shared" si="221"/>
        <v>0</v>
      </c>
      <c r="AK248">
        <v>375.46</v>
      </c>
      <c r="AL248">
        <v>0</v>
      </c>
      <c r="AM248">
        <v>0</v>
      </c>
      <c r="AN248">
        <v>0</v>
      </c>
      <c r="AO248">
        <v>375.46</v>
      </c>
      <c r="AP248">
        <v>0</v>
      </c>
      <c r="AQ248">
        <v>53.56</v>
      </c>
      <c r="AR248">
        <v>0</v>
      </c>
      <c r="AS248">
        <v>0</v>
      </c>
      <c r="AT248">
        <v>89</v>
      </c>
      <c r="AU248">
        <v>40</v>
      </c>
      <c r="AV248">
        <v>1</v>
      </c>
      <c r="AW248">
        <v>1</v>
      </c>
      <c r="AZ248">
        <v>1</v>
      </c>
      <c r="BA248">
        <v>35.270000000000003</v>
      </c>
      <c r="BB248">
        <v>1</v>
      </c>
      <c r="BC248">
        <v>1</v>
      </c>
      <c r="BD248" t="s">
        <v>3</v>
      </c>
      <c r="BE248" t="s">
        <v>3</v>
      </c>
      <c r="BF248" t="s">
        <v>3</v>
      </c>
      <c r="BG248" t="s">
        <v>3</v>
      </c>
      <c r="BH248">
        <v>0</v>
      </c>
      <c r="BI248">
        <v>1</v>
      </c>
      <c r="BJ248" t="s">
        <v>304</v>
      </c>
      <c r="BM248">
        <v>1003</v>
      </c>
      <c r="BN248">
        <v>0</v>
      </c>
      <c r="BO248" t="s">
        <v>301</v>
      </c>
      <c r="BP248">
        <v>1</v>
      </c>
      <c r="BQ248">
        <v>2</v>
      </c>
      <c r="BR248">
        <v>0</v>
      </c>
      <c r="BS248">
        <v>35.270000000000003</v>
      </c>
      <c r="BT248">
        <v>1</v>
      </c>
      <c r="BU248">
        <v>1</v>
      </c>
      <c r="BV248">
        <v>1</v>
      </c>
      <c r="BW248">
        <v>1</v>
      </c>
      <c r="BX248">
        <v>1</v>
      </c>
      <c r="BY248" t="s">
        <v>3</v>
      </c>
      <c r="BZ248">
        <v>89</v>
      </c>
      <c r="CA248">
        <v>40</v>
      </c>
      <c r="CB248" t="s">
        <v>3</v>
      </c>
      <c r="CE248">
        <v>0</v>
      </c>
      <c r="CF248">
        <v>0</v>
      </c>
      <c r="CG248">
        <v>0</v>
      </c>
      <c r="CM248">
        <v>0</v>
      </c>
      <c r="CN248" t="s">
        <v>3</v>
      </c>
      <c r="CO248">
        <v>0</v>
      </c>
      <c r="CP248">
        <f t="shared" si="222"/>
        <v>365.49</v>
      </c>
      <c r="CQ248">
        <f t="shared" si="223"/>
        <v>0</v>
      </c>
      <c r="CR248">
        <f t="shared" si="224"/>
        <v>0</v>
      </c>
      <c r="CS248">
        <f t="shared" si="225"/>
        <v>0</v>
      </c>
      <c r="CT248">
        <f t="shared" si="226"/>
        <v>13242.474200000001</v>
      </c>
      <c r="CU248">
        <f t="shared" si="227"/>
        <v>0</v>
      </c>
      <c r="CV248">
        <f t="shared" si="228"/>
        <v>53.56</v>
      </c>
      <c r="CW248">
        <f t="shared" si="229"/>
        <v>0</v>
      </c>
      <c r="CX248">
        <f t="shared" si="230"/>
        <v>0</v>
      </c>
      <c r="CY248">
        <f>(((S248+R248)*AT248)/100)</f>
        <v>325.28610000000003</v>
      </c>
      <c r="CZ248">
        <f>(((S248+R248)*AU248)/100)</f>
        <v>146.196</v>
      </c>
      <c r="DC248" t="s">
        <v>3</v>
      </c>
      <c r="DD248" t="s">
        <v>3</v>
      </c>
      <c r="DE248" t="s">
        <v>3</v>
      </c>
      <c r="DF248" t="s">
        <v>3</v>
      </c>
      <c r="DG248" t="s">
        <v>3</v>
      </c>
      <c r="DH248" t="s">
        <v>3</v>
      </c>
      <c r="DI248" t="s">
        <v>3</v>
      </c>
      <c r="DJ248" t="s">
        <v>3</v>
      </c>
      <c r="DK248" t="s">
        <v>3</v>
      </c>
      <c r="DL248" t="s">
        <v>3</v>
      </c>
      <c r="DM248" t="s">
        <v>3</v>
      </c>
      <c r="DN248">
        <v>0</v>
      </c>
      <c r="DO248">
        <v>0</v>
      </c>
      <c r="DP248">
        <v>1</v>
      </c>
      <c r="DQ248">
        <v>1</v>
      </c>
      <c r="DU248">
        <v>1007</v>
      </c>
      <c r="DV248" t="s">
        <v>303</v>
      </c>
      <c r="DW248" t="s">
        <v>303</v>
      </c>
      <c r="DX248">
        <v>100</v>
      </c>
      <c r="DZ248" t="s">
        <v>3</v>
      </c>
      <c r="EA248" t="s">
        <v>3</v>
      </c>
      <c r="EB248" t="s">
        <v>3</v>
      </c>
      <c r="EC248" t="s">
        <v>3</v>
      </c>
      <c r="EE248">
        <v>92109375</v>
      </c>
      <c r="EF248">
        <v>2</v>
      </c>
      <c r="EG248" t="s">
        <v>21</v>
      </c>
      <c r="EH248">
        <v>1</v>
      </c>
      <c r="EI248" t="s">
        <v>22</v>
      </c>
      <c r="EJ248">
        <v>1</v>
      </c>
      <c r="EK248">
        <v>1003</v>
      </c>
      <c r="EL248" t="s">
        <v>297</v>
      </c>
      <c r="EM248" t="s">
        <v>24</v>
      </c>
      <c r="EO248" t="s">
        <v>3</v>
      </c>
      <c r="EQ248">
        <v>0</v>
      </c>
      <c r="ER248">
        <v>375.46</v>
      </c>
      <c r="ES248">
        <v>0</v>
      </c>
      <c r="ET248">
        <v>0</v>
      </c>
      <c r="EU248">
        <v>0</v>
      </c>
      <c r="EV248">
        <v>375.46</v>
      </c>
      <c r="EW248">
        <v>53.56</v>
      </c>
      <c r="EX248">
        <v>0</v>
      </c>
      <c r="EY248">
        <v>0</v>
      </c>
      <c r="FQ248">
        <v>0</v>
      </c>
      <c r="FR248">
        <f t="shared" si="231"/>
        <v>0</v>
      </c>
      <c r="FS248">
        <v>0</v>
      </c>
      <c r="FX248">
        <v>89</v>
      </c>
      <c r="FY248">
        <v>40</v>
      </c>
      <c r="GA248" t="s">
        <v>3</v>
      </c>
      <c r="GD248">
        <v>1</v>
      </c>
      <c r="GF248">
        <v>-1397783711</v>
      </c>
      <c r="GG248">
        <v>2</v>
      </c>
      <c r="GH248">
        <v>1</v>
      </c>
      <c r="GI248">
        <v>2</v>
      </c>
      <c r="GJ248">
        <v>0</v>
      </c>
      <c r="GK248">
        <v>0</v>
      </c>
      <c r="GL248">
        <f t="shared" si="232"/>
        <v>0</v>
      </c>
      <c r="GM248">
        <f t="shared" si="233"/>
        <v>836.98</v>
      </c>
      <c r="GN248">
        <f t="shared" si="234"/>
        <v>836.98</v>
      </c>
      <c r="GO248">
        <f t="shared" si="235"/>
        <v>0</v>
      </c>
      <c r="GP248">
        <f t="shared" si="236"/>
        <v>0</v>
      </c>
      <c r="GR248">
        <v>0</v>
      </c>
      <c r="GS248">
        <v>3</v>
      </c>
      <c r="GT248">
        <v>0</v>
      </c>
      <c r="GU248" t="s">
        <v>3</v>
      </c>
      <c r="GV248">
        <f t="shared" si="237"/>
        <v>0</v>
      </c>
      <c r="GW248">
        <v>1</v>
      </c>
      <c r="GX248">
        <f t="shared" si="238"/>
        <v>0</v>
      </c>
      <c r="HA248">
        <v>0</v>
      </c>
      <c r="HB248">
        <v>0</v>
      </c>
      <c r="HC248">
        <f t="shared" si="239"/>
        <v>0</v>
      </c>
      <c r="HE248" t="s">
        <v>3</v>
      </c>
      <c r="HF248" t="s">
        <v>3</v>
      </c>
      <c r="HM248" t="s">
        <v>3</v>
      </c>
      <c r="HN248" t="s">
        <v>298</v>
      </c>
      <c r="HO248" t="s">
        <v>299</v>
      </c>
      <c r="HP248" t="s">
        <v>297</v>
      </c>
      <c r="HQ248" t="s">
        <v>297</v>
      </c>
      <c r="IK248">
        <v>0</v>
      </c>
    </row>
    <row r="249" spans="1:245" x14ac:dyDescent="0.2">
      <c r="A249">
        <v>17</v>
      </c>
      <c r="B249">
        <v>1</v>
      </c>
      <c r="C249">
        <f>ROW(SmtRes!A139)</f>
        <v>139</v>
      </c>
      <c r="D249">
        <f>ROW(EtalonRes!A139)</f>
        <v>139</v>
      </c>
      <c r="E249" t="s">
        <v>305</v>
      </c>
      <c r="F249" t="s">
        <v>306</v>
      </c>
      <c r="G249" t="s">
        <v>307</v>
      </c>
      <c r="H249" t="s">
        <v>308</v>
      </c>
      <c r="I249">
        <v>4.83</v>
      </c>
      <c r="J249">
        <v>0</v>
      </c>
      <c r="K249">
        <v>4.83</v>
      </c>
      <c r="O249">
        <f t="shared" si="202"/>
        <v>467.16</v>
      </c>
      <c r="P249">
        <f t="shared" si="203"/>
        <v>0</v>
      </c>
      <c r="Q249">
        <f t="shared" si="204"/>
        <v>467.16</v>
      </c>
      <c r="R249">
        <f t="shared" si="205"/>
        <v>0</v>
      </c>
      <c r="S249">
        <f t="shared" si="206"/>
        <v>0</v>
      </c>
      <c r="T249">
        <f t="shared" si="207"/>
        <v>0</v>
      </c>
      <c r="U249">
        <f t="shared" si="208"/>
        <v>0</v>
      </c>
      <c r="V249">
        <f t="shared" si="209"/>
        <v>0</v>
      </c>
      <c r="W249">
        <f t="shared" si="210"/>
        <v>0</v>
      </c>
      <c r="X249">
        <f t="shared" si="211"/>
        <v>0</v>
      </c>
      <c r="Y249">
        <f t="shared" si="212"/>
        <v>0</v>
      </c>
      <c r="AA249">
        <v>94798619</v>
      </c>
      <c r="AB249">
        <f t="shared" si="213"/>
        <v>6.22</v>
      </c>
      <c r="AC249">
        <f t="shared" si="214"/>
        <v>0</v>
      </c>
      <c r="AD249">
        <f t="shared" si="215"/>
        <v>6.22</v>
      </c>
      <c r="AE249">
        <f t="shared" si="216"/>
        <v>0</v>
      </c>
      <c r="AF249">
        <f t="shared" si="217"/>
        <v>0</v>
      </c>
      <c r="AG249">
        <f t="shared" si="218"/>
        <v>0</v>
      </c>
      <c r="AH249">
        <f t="shared" si="219"/>
        <v>0</v>
      </c>
      <c r="AI249">
        <f t="shared" si="220"/>
        <v>0</v>
      </c>
      <c r="AJ249">
        <f t="shared" si="221"/>
        <v>0</v>
      </c>
      <c r="AK249">
        <v>6.22</v>
      </c>
      <c r="AL249">
        <v>0</v>
      </c>
      <c r="AM249">
        <v>6.22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1</v>
      </c>
      <c r="AW249">
        <v>1</v>
      </c>
      <c r="AZ249">
        <v>1</v>
      </c>
      <c r="BA249">
        <v>35.270000000000003</v>
      </c>
      <c r="BB249">
        <v>15.55</v>
      </c>
      <c r="BC249">
        <v>1</v>
      </c>
      <c r="BD249" t="s">
        <v>3</v>
      </c>
      <c r="BE249" t="s">
        <v>3</v>
      </c>
      <c r="BF249" t="s">
        <v>3</v>
      </c>
      <c r="BG249" t="s">
        <v>3</v>
      </c>
      <c r="BH249">
        <v>0</v>
      </c>
      <c r="BI249">
        <v>1</v>
      </c>
      <c r="BJ249" t="s">
        <v>309</v>
      </c>
      <c r="BM249">
        <v>700005</v>
      </c>
      <c r="BN249">
        <v>0</v>
      </c>
      <c r="BO249" t="s">
        <v>3</v>
      </c>
      <c r="BP249">
        <v>0</v>
      </c>
      <c r="BQ249">
        <v>10</v>
      </c>
      <c r="BR249">
        <v>0</v>
      </c>
      <c r="BS249">
        <v>35.270000000000003</v>
      </c>
      <c r="BT249">
        <v>1</v>
      </c>
      <c r="BU249">
        <v>1</v>
      </c>
      <c r="BV249">
        <v>1</v>
      </c>
      <c r="BW249">
        <v>1</v>
      </c>
      <c r="BX249">
        <v>1</v>
      </c>
      <c r="BY249" t="s">
        <v>3</v>
      </c>
      <c r="BZ249">
        <v>0</v>
      </c>
      <c r="CA249">
        <v>0</v>
      </c>
      <c r="CB249" t="s">
        <v>3</v>
      </c>
      <c r="CE249">
        <v>0</v>
      </c>
      <c r="CF249">
        <v>0</v>
      </c>
      <c r="CG249">
        <v>0</v>
      </c>
      <c r="CM249">
        <v>0</v>
      </c>
      <c r="CN249" t="s">
        <v>3</v>
      </c>
      <c r="CO249">
        <v>0</v>
      </c>
      <c r="CP249">
        <f t="shared" si="222"/>
        <v>467.16</v>
      </c>
      <c r="CQ249">
        <f t="shared" si="223"/>
        <v>0</v>
      </c>
      <c r="CR249">
        <f t="shared" si="224"/>
        <v>96.721000000000004</v>
      </c>
      <c r="CS249">
        <f t="shared" si="225"/>
        <v>0</v>
      </c>
      <c r="CT249">
        <f t="shared" si="226"/>
        <v>0</v>
      </c>
      <c r="CU249">
        <f t="shared" si="227"/>
        <v>0</v>
      </c>
      <c r="CV249">
        <f t="shared" si="228"/>
        <v>0</v>
      </c>
      <c r="CW249">
        <f t="shared" si="229"/>
        <v>0</v>
      </c>
      <c r="CX249">
        <f t="shared" si="230"/>
        <v>0</v>
      </c>
      <c r="CY249">
        <f>(((S249+R249)*AT249)/100)</f>
        <v>0</v>
      </c>
      <c r="CZ249">
        <f>(((S249+R249)*AU249)/100)</f>
        <v>0</v>
      </c>
      <c r="DC249" t="s">
        <v>3</v>
      </c>
      <c r="DD249" t="s">
        <v>3</v>
      </c>
      <c r="DE249" t="s">
        <v>3</v>
      </c>
      <c r="DF249" t="s">
        <v>3</v>
      </c>
      <c r="DG249" t="s">
        <v>3</v>
      </c>
      <c r="DH249" t="s">
        <v>3</v>
      </c>
      <c r="DI249" t="s">
        <v>3</v>
      </c>
      <c r="DJ249" t="s">
        <v>3</v>
      </c>
      <c r="DK249" t="s">
        <v>3</v>
      </c>
      <c r="DL249" t="s">
        <v>3</v>
      </c>
      <c r="DM249" t="s">
        <v>3</v>
      </c>
      <c r="DN249">
        <v>0</v>
      </c>
      <c r="DO249">
        <v>0</v>
      </c>
      <c r="DP249">
        <v>1</v>
      </c>
      <c r="DQ249">
        <v>1</v>
      </c>
      <c r="DU249">
        <v>1013</v>
      </c>
      <c r="DV249" t="s">
        <v>308</v>
      </c>
      <c r="DW249" t="s">
        <v>308</v>
      </c>
      <c r="DX249">
        <v>1</v>
      </c>
      <c r="DZ249" t="s">
        <v>3</v>
      </c>
      <c r="EA249" t="s">
        <v>3</v>
      </c>
      <c r="EB249" t="s">
        <v>3</v>
      </c>
      <c r="EC249" t="s">
        <v>3</v>
      </c>
      <c r="EE249">
        <v>92109588</v>
      </c>
      <c r="EF249">
        <v>10</v>
      </c>
      <c r="EG249" t="s">
        <v>310</v>
      </c>
      <c r="EH249">
        <v>107</v>
      </c>
      <c r="EI249" t="s">
        <v>311</v>
      </c>
      <c r="EJ249">
        <v>1</v>
      </c>
      <c r="EK249">
        <v>700005</v>
      </c>
      <c r="EL249" t="s">
        <v>311</v>
      </c>
      <c r="EM249" t="s">
        <v>312</v>
      </c>
      <c r="EO249" t="s">
        <v>3</v>
      </c>
      <c r="EQ249">
        <v>0</v>
      </c>
      <c r="ER249">
        <v>6.22</v>
      </c>
      <c r="ES249">
        <v>0</v>
      </c>
      <c r="ET249">
        <v>6.22</v>
      </c>
      <c r="EU249">
        <v>0</v>
      </c>
      <c r="EV249">
        <v>0</v>
      </c>
      <c r="EW249">
        <v>0</v>
      </c>
      <c r="EX249">
        <v>0</v>
      </c>
      <c r="EY249">
        <v>0</v>
      </c>
      <c r="FQ249">
        <v>0</v>
      </c>
      <c r="FR249">
        <f t="shared" si="231"/>
        <v>0</v>
      </c>
      <c r="FS249">
        <v>0</v>
      </c>
      <c r="FX249">
        <v>0</v>
      </c>
      <c r="FY249">
        <v>0</v>
      </c>
      <c r="GA249" t="s">
        <v>3</v>
      </c>
      <c r="GD249">
        <v>1</v>
      </c>
      <c r="GF249">
        <v>-1075710201</v>
      </c>
      <c r="GG249">
        <v>2</v>
      </c>
      <c r="GH249">
        <v>1</v>
      </c>
      <c r="GI249">
        <v>2</v>
      </c>
      <c r="GJ249">
        <v>0</v>
      </c>
      <c r="GK249">
        <v>0</v>
      </c>
      <c r="GL249">
        <f t="shared" si="232"/>
        <v>0</v>
      </c>
      <c r="GM249">
        <f t="shared" si="233"/>
        <v>467.16</v>
      </c>
      <c r="GN249">
        <f t="shared" si="234"/>
        <v>467.16</v>
      </c>
      <c r="GO249">
        <f t="shared" si="235"/>
        <v>0</v>
      </c>
      <c r="GP249">
        <f t="shared" si="236"/>
        <v>0</v>
      </c>
      <c r="GR249">
        <v>0</v>
      </c>
      <c r="GS249">
        <v>3</v>
      </c>
      <c r="GT249">
        <v>0</v>
      </c>
      <c r="GU249" t="s">
        <v>3</v>
      </c>
      <c r="GV249">
        <f t="shared" si="237"/>
        <v>0</v>
      </c>
      <c r="GW249">
        <v>1</v>
      </c>
      <c r="GX249">
        <f t="shared" si="238"/>
        <v>0</v>
      </c>
      <c r="HA249">
        <v>0</v>
      </c>
      <c r="HB249">
        <v>0</v>
      </c>
      <c r="HC249">
        <f t="shared" si="239"/>
        <v>0</v>
      </c>
      <c r="HD249">
        <f>GM249</f>
        <v>467.16</v>
      </c>
      <c r="HE249" t="s">
        <v>3</v>
      </c>
      <c r="HF249" t="s">
        <v>3</v>
      </c>
      <c r="HM249" t="s">
        <v>3</v>
      </c>
      <c r="HN249" t="s">
        <v>3</v>
      </c>
      <c r="HO249" t="s">
        <v>3</v>
      </c>
      <c r="HP249" t="s">
        <v>3</v>
      </c>
      <c r="HQ249" t="s">
        <v>3</v>
      </c>
      <c r="IK249">
        <v>0</v>
      </c>
    </row>
    <row r="250" spans="1:245" x14ac:dyDescent="0.2">
      <c r="A250">
        <v>17</v>
      </c>
      <c r="B250">
        <v>1</v>
      </c>
      <c r="C250">
        <f>ROW(SmtRes!A147)</f>
        <v>147</v>
      </c>
      <c r="D250">
        <f>ROW(EtalonRes!A147)</f>
        <v>147</v>
      </c>
      <c r="E250" t="s">
        <v>313</v>
      </c>
      <c r="F250" t="s">
        <v>314</v>
      </c>
      <c r="G250" t="s">
        <v>315</v>
      </c>
      <c r="H250" t="s">
        <v>316</v>
      </c>
      <c r="I250">
        <f>ROUND(2.07/100,9)</f>
        <v>2.07E-2</v>
      </c>
      <c r="J250">
        <v>0</v>
      </c>
      <c r="K250">
        <f>ROUND(2.07/100,9)</f>
        <v>2.07E-2</v>
      </c>
      <c r="O250">
        <f t="shared" si="202"/>
        <v>887.19</v>
      </c>
      <c r="P250">
        <f t="shared" si="203"/>
        <v>2.84</v>
      </c>
      <c r="Q250">
        <f t="shared" si="204"/>
        <v>798.39</v>
      </c>
      <c r="R250">
        <f t="shared" si="205"/>
        <v>122.83</v>
      </c>
      <c r="S250">
        <f t="shared" si="206"/>
        <v>85.96</v>
      </c>
      <c r="T250">
        <f t="shared" si="207"/>
        <v>0</v>
      </c>
      <c r="U250">
        <f t="shared" si="208"/>
        <v>0.32540400000000003</v>
      </c>
      <c r="V250">
        <f t="shared" si="209"/>
        <v>0.30656699999999998</v>
      </c>
      <c r="W250">
        <f t="shared" si="210"/>
        <v>0</v>
      </c>
      <c r="X250">
        <f t="shared" si="211"/>
        <v>306.92</v>
      </c>
      <c r="Y250">
        <f t="shared" si="212"/>
        <v>279.77999999999997</v>
      </c>
      <c r="AA250">
        <v>94798619</v>
      </c>
      <c r="AB250">
        <f t="shared" si="213"/>
        <v>2462.6999999999998</v>
      </c>
      <c r="AC250">
        <f t="shared" si="214"/>
        <v>17.29</v>
      </c>
      <c r="AD250">
        <f t="shared" si="215"/>
        <v>2327.67</v>
      </c>
      <c r="AE250">
        <f t="shared" si="216"/>
        <v>168.24</v>
      </c>
      <c r="AF250">
        <f t="shared" si="217"/>
        <v>117.74</v>
      </c>
      <c r="AG250">
        <f t="shared" si="218"/>
        <v>0</v>
      </c>
      <c r="AH250">
        <f t="shared" si="219"/>
        <v>15.72</v>
      </c>
      <c r="AI250">
        <f t="shared" si="220"/>
        <v>14.81</v>
      </c>
      <c r="AJ250">
        <f t="shared" si="221"/>
        <v>0</v>
      </c>
      <c r="AK250">
        <v>2462.6999999999998</v>
      </c>
      <c r="AL250">
        <v>17.29</v>
      </c>
      <c r="AM250">
        <v>2327.67</v>
      </c>
      <c r="AN250">
        <v>168.24</v>
      </c>
      <c r="AO250">
        <v>117.74</v>
      </c>
      <c r="AP250">
        <v>0</v>
      </c>
      <c r="AQ250">
        <v>15.72</v>
      </c>
      <c r="AR250">
        <v>14.81</v>
      </c>
      <c r="AS250">
        <v>0</v>
      </c>
      <c r="AT250">
        <v>147</v>
      </c>
      <c r="AU250">
        <v>134</v>
      </c>
      <c r="AV250">
        <v>1</v>
      </c>
      <c r="AW250">
        <v>1</v>
      </c>
      <c r="AZ250">
        <v>1</v>
      </c>
      <c r="BA250">
        <v>35.270000000000003</v>
      </c>
      <c r="BB250">
        <v>16.57</v>
      </c>
      <c r="BC250">
        <v>7.93</v>
      </c>
      <c r="BD250" t="s">
        <v>3</v>
      </c>
      <c r="BE250" t="s">
        <v>3</v>
      </c>
      <c r="BF250" t="s">
        <v>3</v>
      </c>
      <c r="BG250" t="s">
        <v>3</v>
      </c>
      <c r="BH250">
        <v>0</v>
      </c>
      <c r="BI250">
        <v>1</v>
      </c>
      <c r="BJ250" t="s">
        <v>317</v>
      </c>
      <c r="BM250">
        <v>27001</v>
      </c>
      <c r="BN250">
        <v>0</v>
      </c>
      <c r="BO250" t="s">
        <v>314</v>
      </c>
      <c r="BP250">
        <v>1</v>
      </c>
      <c r="BQ250">
        <v>2</v>
      </c>
      <c r="BR250">
        <v>0</v>
      </c>
      <c r="BS250">
        <v>35.270000000000003</v>
      </c>
      <c r="BT250">
        <v>1</v>
      </c>
      <c r="BU250">
        <v>1</v>
      </c>
      <c r="BV250">
        <v>1</v>
      </c>
      <c r="BW250">
        <v>1</v>
      </c>
      <c r="BX250">
        <v>1</v>
      </c>
      <c r="BY250" t="s">
        <v>3</v>
      </c>
      <c r="BZ250">
        <v>147</v>
      </c>
      <c r="CA250">
        <v>134</v>
      </c>
      <c r="CB250" t="s">
        <v>3</v>
      </c>
      <c r="CE250">
        <v>0</v>
      </c>
      <c r="CF250">
        <v>0</v>
      </c>
      <c r="CG250">
        <v>0</v>
      </c>
      <c r="CM250">
        <v>0</v>
      </c>
      <c r="CN250" t="s">
        <v>3</v>
      </c>
      <c r="CO250">
        <v>0</v>
      </c>
      <c r="CP250">
        <f t="shared" si="222"/>
        <v>887.19</v>
      </c>
      <c r="CQ250">
        <f t="shared" si="223"/>
        <v>137.10969999999998</v>
      </c>
      <c r="CR250">
        <f t="shared" si="224"/>
        <v>38569.491900000001</v>
      </c>
      <c r="CS250">
        <f t="shared" si="225"/>
        <v>5933.8248000000012</v>
      </c>
      <c r="CT250">
        <f t="shared" si="226"/>
        <v>4152.6898000000001</v>
      </c>
      <c r="CU250">
        <f t="shared" si="227"/>
        <v>0</v>
      </c>
      <c r="CV250">
        <f t="shared" si="228"/>
        <v>15.72</v>
      </c>
      <c r="CW250">
        <f t="shared" si="229"/>
        <v>14.81</v>
      </c>
      <c r="CX250">
        <f t="shared" si="230"/>
        <v>0</v>
      </c>
      <c r="CY250">
        <f>(((S250+R250)*AT250)/100)</f>
        <v>306.92129999999997</v>
      </c>
      <c r="CZ250">
        <f>(((S250+R250)*AU250)/100)</f>
        <v>279.77859999999998</v>
      </c>
      <c r="DC250" t="s">
        <v>3</v>
      </c>
      <c r="DD250" t="s">
        <v>3</v>
      </c>
      <c r="DE250" t="s">
        <v>3</v>
      </c>
      <c r="DF250" t="s">
        <v>3</v>
      </c>
      <c r="DG250" t="s">
        <v>3</v>
      </c>
      <c r="DH250" t="s">
        <v>3</v>
      </c>
      <c r="DI250" t="s">
        <v>3</v>
      </c>
      <c r="DJ250" t="s">
        <v>3</v>
      </c>
      <c r="DK250" t="s">
        <v>3</v>
      </c>
      <c r="DL250" t="s">
        <v>3</v>
      </c>
      <c r="DM250" t="s">
        <v>3</v>
      </c>
      <c r="DN250">
        <v>0</v>
      </c>
      <c r="DO250">
        <v>0</v>
      </c>
      <c r="DP250">
        <v>1</v>
      </c>
      <c r="DQ250">
        <v>1</v>
      </c>
      <c r="DU250">
        <v>1013</v>
      </c>
      <c r="DV250" t="s">
        <v>316</v>
      </c>
      <c r="DW250" t="s">
        <v>316</v>
      </c>
      <c r="DX250">
        <v>1</v>
      </c>
      <c r="DZ250" t="s">
        <v>3</v>
      </c>
      <c r="EA250" t="s">
        <v>3</v>
      </c>
      <c r="EB250" t="s">
        <v>3</v>
      </c>
      <c r="EC250" t="s">
        <v>3</v>
      </c>
      <c r="EE250">
        <v>92109440</v>
      </c>
      <c r="EF250">
        <v>2</v>
      </c>
      <c r="EG250" t="s">
        <v>21</v>
      </c>
      <c r="EH250">
        <v>21</v>
      </c>
      <c r="EI250" t="s">
        <v>161</v>
      </c>
      <c r="EJ250">
        <v>1</v>
      </c>
      <c r="EK250">
        <v>27001</v>
      </c>
      <c r="EL250" t="s">
        <v>161</v>
      </c>
      <c r="EM250" t="s">
        <v>162</v>
      </c>
      <c r="EO250" t="s">
        <v>3</v>
      </c>
      <c r="EQ250">
        <v>0</v>
      </c>
      <c r="ER250">
        <v>2462.6999999999998</v>
      </c>
      <c r="ES250">
        <v>17.29</v>
      </c>
      <c r="ET250">
        <v>2327.67</v>
      </c>
      <c r="EU250">
        <v>168.24</v>
      </c>
      <c r="EV250">
        <v>117.74</v>
      </c>
      <c r="EW250">
        <v>15.72</v>
      </c>
      <c r="EX250">
        <v>14.81</v>
      </c>
      <c r="EY250">
        <v>0</v>
      </c>
      <c r="FQ250">
        <v>0</v>
      </c>
      <c r="FR250">
        <f t="shared" si="231"/>
        <v>0</v>
      </c>
      <c r="FS250">
        <v>0</v>
      </c>
      <c r="FX250">
        <v>147</v>
      </c>
      <c r="FY250">
        <v>134</v>
      </c>
      <c r="GA250" t="s">
        <v>3</v>
      </c>
      <c r="GD250">
        <v>1</v>
      </c>
      <c r="GF250">
        <v>-1721403155</v>
      </c>
      <c r="GG250">
        <v>2</v>
      </c>
      <c r="GH250">
        <v>1</v>
      </c>
      <c r="GI250">
        <v>2</v>
      </c>
      <c r="GJ250">
        <v>0</v>
      </c>
      <c r="GK250">
        <v>0</v>
      </c>
      <c r="GL250">
        <f t="shared" si="232"/>
        <v>0</v>
      </c>
      <c r="GM250">
        <f t="shared" si="233"/>
        <v>1473.89</v>
      </c>
      <c r="GN250">
        <f t="shared" si="234"/>
        <v>1473.89</v>
      </c>
      <c r="GO250">
        <f t="shared" si="235"/>
        <v>0</v>
      </c>
      <c r="GP250">
        <f t="shared" si="236"/>
        <v>0</v>
      </c>
      <c r="GR250">
        <v>0</v>
      </c>
      <c r="GS250">
        <v>3</v>
      </c>
      <c r="GT250">
        <v>0</v>
      </c>
      <c r="GU250" t="s">
        <v>3</v>
      </c>
      <c r="GV250">
        <f t="shared" si="237"/>
        <v>0</v>
      </c>
      <c r="GW250">
        <v>1</v>
      </c>
      <c r="GX250">
        <f t="shared" si="238"/>
        <v>0</v>
      </c>
      <c r="HA250">
        <v>0</v>
      </c>
      <c r="HB250">
        <v>0</v>
      </c>
      <c r="HC250">
        <f t="shared" si="239"/>
        <v>0</v>
      </c>
      <c r="HE250" t="s">
        <v>3</v>
      </c>
      <c r="HF250" t="s">
        <v>3</v>
      </c>
      <c r="HM250" t="s">
        <v>3</v>
      </c>
      <c r="HN250" t="s">
        <v>163</v>
      </c>
      <c r="HO250" t="s">
        <v>164</v>
      </c>
      <c r="HP250" t="s">
        <v>161</v>
      </c>
      <c r="HQ250" t="s">
        <v>161</v>
      </c>
      <c r="IK250">
        <v>0</v>
      </c>
    </row>
    <row r="251" spans="1:245" x14ac:dyDescent="0.2">
      <c r="A251">
        <v>18</v>
      </c>
      <c r="B251">
        <v>1</v>
      </c>
      <c r="C251">
        <v>146</v>
      </c>
      <c r="E251" t="s">
        <v>318</v>
      </c>
      <c r="F251" t="s">
        <v>319</v>
      </c>
      <c r="G251" t="s">
        <v>320</v>
      </c>
      <c r="H251" t="s">
        <v>52</v>
      </c>
      <c r="I251">
        <f>I250*J251</f>
        <v>0</v>
      </c>
      <c r="J251">
        <v>0</v>
      </c>
      <c r="K251">
        <v>0</v>
      </c>
      <c r="O251">
        <f t="shared" si="202"/>
        <v>0</v>
      </c>
      <c r="P251">
        <f t="shared" si="203"/>
        <v>0</v>
      </c>
      <c r="Q251">
        <f t="shared" si="204"/>
        <v>0</v>
      </c>
      <c r="R251">
        <f t="shared" si="205"/>
        <v>0</v>
      </c>
      <c r="S251">
        <f t="shared" si="206"/>
        <v>0</v>
      </c>
      <c r="T251">
        <f t="shared" si="207"/>
        <v>0</v>
      </c>
      <c r="U251">
        <f t="shared" si="208"/>
        <v>0</v>
      </c>
      <c r="V251">
        <f t="shared" si="209"/>
        <v>0</v>
      </c>
      <c r="W251">
        <f t="shared" si="210"/>
        <v>0</v>
      </c>
      <c r="X251">
        <f t="shared" si="211"/>
        <v>0</v>
      </c>
      <c r="Y251">
        <f t="shared" si="212"/>
        <v>0</v>
      </c>
      <c r="AA251">
        <v>94798619</v>
      </c>
      <c r="AB251">
        <f t="shared" si="213"/>
        <v>144</v>
      </c>
      <c r="AC251">
        <f t="shared" si="214"/>
        <v>144</v>
      </c>
      <c r="AD251">
        <f t="shared" si="215"/>
        <v>0</v>
      </c>
      <c r="AE251">
        <f t="shared" si="216"/>
        <v>0</v>
      </c>
      <c r="AF251">
        <f t="shared" si="217"/>
        <v>0</v>
      </c>
      <c r="AG251">
        <f t="shared" si="218"/>
        <v>0</v>
      </c>
      <c r="AH251">
        <f t="shared" si="219"/>
        <v>0</v>
      </c>
      <c r="AI251">
        <f t="shared" si="220"/>
        <v>0</v>
      </c>
      <c r="AJ251">
        <f t="shared" si="221"/>
        <v>0</v>
      </c>
      <c r="AK251">
        <v>144</v>
      </c>
      <c r="AL251">
        <v>144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147</v>
      </c>
      <c r="AU251">
        <v>134</v>
      </c>
      <c r="AV251">
        <v>1</v>
      </c>
      <c r="AW251">
        <v>1</v>
      </c>
      <c r="AZ251">
        <v>1</v>
      </c>
      <c r="BA251">
        <v>1</v>
      </c>
      <c r="BB251">
        <v>1</v>
      </c>
      <c r="BC251">
        <v>12.41</v>
      </c>
      <c r="BD251" t="s">
        <v>3</v>
      </c>
      <c r="BE251" t="s">
        <v>3</v>
      </c>
      <c r="BF251" t="s">
        <v>3</v>
      </c>
      <c r="BG251" t="s">
        <v>3</v>
      </c>
      <c r="BH251">
        <v>3</v>
      </c>
      <c r="BI251">
        <v>1</v>
      </c>
      <c r="BJ251" t="s">
        <v>321</v>
      </c>
      <c r="BM251">
        <v>27001</v>
      </c>
      <c r="BN251">
        <v>0</v>
      </c>
      <c r="BO251" t="s">
        <v>319</v>
      </c>
      <c r="BP251">
        <v>1</v>
      </c>
      <c r="BQ251">
        <v>2</v>
      </c>
      <c r="BR251">
        <v>0</v>
      </c>
      <c r="BS251">
        <v>1</v>
      </c>
      <c r="BT251">
        <v>1</v>
      </c>
      <c r="BU251">
        <v>1</v>
      </c>
      <c r="BV251">
        <v>1</v>
      </c>
      <c r="BW251">
        <v>1</v>
      </c>
      <c r="BX251">
        <v>1</v>
      </c>
      <c r="BY251" t="s">
        <v>3</v>
      </c>
      <c r="BZ251">
        <v>147</v>
      </c>
      <c r="CA251">
        <v>134</v>
      </c>
      <c r="CB251" t="s">
        <v>3</v>
      </c>
      <c r="CE251">
        <v>0</v>
      </c>
      <c r="CF251">
        <v>0</v>
      </c>
      <c r="CG251">
        <v>0</v>
      </c>
      <c r="CM251">
        <v>0</v>
      </c>
      <c r="CN251" t="s">
        <v>3</v>
      </c>
      <c r="CO251">
        <v>0</v>
      </c>
      <c r="CP251">
        <f t="shared" si="222"/>
        <v>0</v>
      </c>
      <c r="CQ251">
        <f t="shared" si="223"/>
        <v>1787.04</v>
      </c>
      <c r="CR251">
        <f t="shared" si="224"/>
        <v>0</v>
      </c>
      <c r="CS251">
        <f t="shared" si="225"/>
        <v>0</v>
      </c>
      <c r="CT251">
        <f t="shared" si="226"/>
        <v>0</v>
      </c>
      <c r="CU251">
        <f t="shared" si="227"/>
        <v>0</v>
      </c>
      <c r="CV251">
        <f t="shared" si="228"/>
        <v>0</v>
      </c>
      <c r="CW251">
        <f t="shared" si="229"/>
        <v>0</v>
      </c>
      <c r="CX251">
        <f t="shared" si="230"/>
        <v>0</v>
      </c>
      <c r="CY251">
        <f>(((S251+R251)*AT251)/100)</f>
        <v>0</v>
      </c>
      <c r="CZ251">
        <f>(((S251+R251)*AU251)/100)</f>
        <v>0</v>
      </c>
      <c r="DC251" t="s">
        <v>3</v>
      </c>
      <c r="DD251" t="s">
        <v>3</v>
      </c>
      <c r="DE251" t="s">
        <v>3</v>
      </c>
      <c r="DF251" t="s">
        <v>3</v>
      </c>
      <c r="DG251" t="s">
        <v>3</v>
      </c>
      <c r="DH251" t="s">
        <v>3</v>
      </c>
      <c r="DI251" t="s">
        <v>3</v>
      </c>
      <c r="DJ251" t="s">
        <v>3</v>
      </c>
      <c r="DK251" t="s">
        <v>3</v>
      </c>
      <c r="DL251" t="s">
        <v>3</v>
      </c>
      <c r="DM251" t="s">
        <v>3</v>
      </c>
      <c r="DN251">
        <v>0</v>
      </c>
      <c r="DO251">
        <v>0</v>
      </c>
      <c r="DP251">
        <v>1</v>
      </c>
      <c r="DQ251">
        <v>1</v>
      </c>
      <c r="DU251">
        <v>1007</v>
      </c>
      <c r="DV251" t="s">
        <v>52</v>
      </c>
      <c r="DW251" t="s">
        <v>52</v>
      </c>
      <c r="DX251">
        <v>1</v>
      </c>
      <c r="DZ251" t="s">
        <v>3</v>
      </c>
      <c r="EA251" t="s">
        <v>3</v>
      </c>
      <c r="EB251" t="s">
        <v>3</v>
      </c>
      <c r="EC251" t="s">
        <v>3</v>
      </c>
      <c r="EE251">
        <v>92109440</v>
      </c>
      <c r="EF251">
        <v>2</v>
      </c>
      <c r="EG251" t="s">
        <v>21</v>
      </c>
      <c r="EH251">
        <v>21</v>
      </c>
      <c r="EI251" t="s">
        <v>161</v>
      </c>
      <c r="EJ251">
        <v>1</v>
      </c>
      <c r="EK251">
        <v>27001</v>
      </c>
      <c r="EL251" t="s">
        <v>161</v>
      </c>
      <c r="EM251" t="s">
        <v>162</v>
      </c>
      <c r="EO251" t="s">
        <v>3</v>
      </c>
      <c r="EQ251">
        <v>0</v>
      </c>
      <c r="ER251">
        <v>144</v>
      </c>
      <c r="ES251">
        <v>144</v>
      </c>
      <c r="ET251">
        <v>0</v>
      </c>
      <c r="EU251">
        <v>0</v>
      </c>
      <c r="EV251">
        <v>0</v>
      </c>
      <c r="EW251">
        <v>0</v>
      </c>
      <c r="EX251">
        <v>0</v>
      </c>
      <c r="FQ251">
        <v>0</v>
      </c>
      <c r="FR251">
        <f t="shared" si="231"/>
        <v>0</v>
      </c>
      <c r="FS251">
        <v>0</v>
      </c>
      <c r="FX251">
        <v>147</v>
      </c>
      <c r="FY251">
        <v>134</v>
      </c>
      <c r="GA251" t="s">
        <v>3</v>
      </c>
      <c r="GD251">
        <v>1</v>
      </c>
      <c r="GF251">
        <v>-1844095038</v>
      </c>
      <c r="GG251">
        <v>2</v>
      </c>
      <c r="GH251">
        <v>1</v>
      </c>
      <c r="GI251">
        <v>2</v>
      </c>
      <c r="GJ251">
        <v>0</v>
      </c>
      <c r="GK251">
        <v>0</v>
      </c>
      <c r="GL251">
        <f t="shared" si="232"/>
        <v>0</v>
      </c>
      <c r="GM251">
        <f t="shared" si="233"/>
        <v>0</v>
      </c>
      <c r="GN251">
        <f t="shared" si="234"/>
        <v>0</v>
      </c>
      <c r="GO251">
        <f t="shared" si="235"/>
        <v>0</v>
      </c>
      <c r="GP251">
        <f t="shared" si="236"/>
        <v>0</v>
      </c>
      <c r="GR251">
        <v>0</v>
      </c>
      <c r="GS251">
        <v>3</v>
      </c>
      <c r="GT251">
        <v>0</v>
      </c>
      <c r="GU251" t="s">
        <v>3</v>
      </c>
      <c r="GV251">
        <f t="shared" si="237"/>
        <v>0</v>
      </c>
      <c r="GW251">
        <v>1</v>
      </c>
      <c r="GX251">
        <f t="shared" si="238"/>
        <v>0</v>
      </c>
      <c r="HA251">
        <v>0</v>
      </c>
      <c r="HB251">
        <v>0</v>
      </c>
      <c r="HC251">
        <f t="shared" si="239"/>
        <v>0</v>
      </c>
      <c r="HE251" t="s">
        <v>3</v>
      </c>
      <c r="HF251" t="s">
        <v>3</v>
      </c>
      <c r="HM251" t="s">
        <v>3</v>
      </c>
      <c r="HN251" t="s">
        <v>163</v>
      </c>
      <c r="HO251" t="s">
        <v>164</v>
      </c>
      <c r="HP251" t="s">
        <v>161</v>
      </c>
      <c r="HQ251" t="s">
        <v>161</v>
      </c>
      <c r="IK251">
        <v>0</v>
      </c>
    </row>
    <row r="252" spans="1:245" x14ac:dyDescent="0.2">
      <c r="A252">
        <v>17</v>
      </c>
      <c r="B252">
        <v>1</v>
      </c>
      <c r="E252" t="s">
        <v>322</v>
      </c>
      <c r="F252" t="s">
        <v>323</v>
      </c>
      <c r="G252" t="s">
        <v>324</v>
      </c>
      <c r="H252" t="s">
        <v>52</v>
      </c>
      <c r="I252">
        <v>2.5253999999999999</v>
      </c>
      <c r="J252">
        <v>0</v>
      </c>
      <c r="K252">
        <v>2.5253999999999999</v>
      </c>
      <c r="O252">
        <f t="shared" si="202"/>
        <v>8166.21</v>
      </c>
      <c r="P252">
        <f t="shared" si="203"/>
        <v>8166.21</v>
      </c>
      <c r="Q252">
        <f t="shared" si="204"/>
        <v>0</v>
      </c>
      <c r="R252">
        <f t="shared" si="205"/>
        <v>0</v>
      </c>
      <c r="S252">
        <f t="shared" si="206"/>
        <v>0</v>
      </c>
      <c r="T252">
        <f t="shared" si="207"/>
        <v>0</v>
      </c>
      <c r="U252">
        <f t="shared" si="208"/>
        <v>0</v>
      </c>
      <c r="V252">
        <f t="shared" si="209"/>
        <v>0</v>
      </c>
      <c r="W252">
        <f t="shared" si="210"/>
        <v>0</v>
      </c>
      <c r="X252">
        <f t="shared" si="211"/>
        <v>0</v>
      </c>
      <c r="Y252">
        <f t="shared" si="212"/>
        <v>0</v>
      </c>
      <c r="AA252">
        <v>94798619</v>
      </c>
      <c r="AB252">
        <f t="shared" si="213"/>
        <v>191</v>
      </c>
      <c r="AC252">
        <f t="shared" si="214"/>
        <v>191</v>
      </c>
      <c r="AD252">
        <f t="shared" si="215"/>
        <v>0</v>
      </c>
      <c r="AE252">
        <f t="shared" si="216"/>
        <v>0</v>
      </c>
      <c r="AF252">
        <f t="shared" si="217"/>
        <v>0</v>
      </c>
      <c r="AG252">
        <f t="shared" si="218"/>
        <v>0</v>
      </c>
      <c r="AH252">
        <f t="shared" si="219"/>
        <v>0</v>
      </c>
      <c r="AI252">
        <f t="shared" si="220"/>
        <v>0</v>
      </c>
      <c r="AJ252">
        <f t="shared" si="221"/>
        <v>0</v>
      </c>
      <c r="AK252">
        <v>191</v>
      </c>
      <c r="AL252">
        <v>191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1</v>
      </c>
      <c r="AW252">
        <v>1</v>
      </c>
      <c r="AZ252">
        <v>1</v>
      </c>
      <c r="BA252">
        <v>1</v>
      </c>
      <c r="BB252">
        <v>1</v>
      </c>
      <c r="BC252">
        <v>16.93</v>
      </c>
      <c r="BD252" t="s">
        <v>3</v>
      </c>
      <c r="BE252" t="s">
        <v>3</v>
      </c>
      <c r="BF252" t="s">
        <v>3</v>
      </c>
      <c r="BG252" t="s">
        <v>3</v>
      </c>
      <c r="BH252">
        <v>3</v>
      </c>
      <c r="BI252">
        <v>1</v>
      </c>
      <c r="BJ252" t="s">
        <v>325</v>
      </c>
      <c r="BM252">
        <v>500001</v>
      </c>
      <c r="BN252">
        <v>0</v>
      </c>
      <c r="BO252" t="s">
        <v>323</v>
      </c>
      <c r="BP252">
        <v>1</v>
      </c>
      <c r="BQ252">
        <v>8</v>
      </c>
      <c r="BR252">
        <v>0</v>
      </c>
      <c r="BS252">
        <v>1</v>
      </c>
      <c r="BT252">
        <v>1</v>
      </c>
      <c r="BU252">
        <v>1</v>
      </c>
      <c r="BV252">
        <v>1</v>
      </c>
      <c r="BW252">
        <v>1</v>
      </c>
      <c r="BX252">
        <v>1</v>
      </c>
      <c r="BY252" t="s">
        <v>3</v>
      </c>
      <c r="BZ252">
        <v>0</v>
      </c>
      <c r="CA252">
        <v>0</v>
      </c>
      <c r="CB252" t="s">
        <v>3</v>
      </c>
      <c r="CE252">
        <v>0</v>
      </c>
      <c r="CF252">
        <v>0</v>
      </c>
      <c r="CG252">
        <v>0</v>
      </c>
      <c r="CM252">
        <v>0</v>
      </c>
      <c r="CN252" t="s">
        <v>3</v>
      </c>
      <c r="CO252">
        <v>0</v>
      </c>
      <c r="CP252">
        <f t="shared" si="222"/>
        <v>8166.21</v>
      </c>
      <c r="CQ252">
        <f t="shared" si="223"/>
        <v>3233.63</v>
      </c>
      <c r="CR252">
        <f t="shared" si="224"/>
        <v>0</v>
      </c>
      <c r="CS252">
        <f t="shared" si="225"/>
        <v>0</v>
      </c>
      <c r="CT252">
        <f t="shared" si="226"/>
        <v>0</v>
      </c>
      <c r="CU252">
        <f t="shared" si="227"/>
        <v>0</v>
      </c>
      <c r="CV252">
        <f t="shared" si="228"/>
        <v>0</v>
      </c>
      <c r="CW252">
        <f t="shared" si="229"/>
        <v>0</v>
      </c>
      <c r="CX252">
        <f t="shared" si="230"/>
        <v>0</v>
      </c>
      <c r="CY252">
        <f>0</f>
        <v>0</v>
      </c>
      <c r="CZ252">
        <f>0</f>
        <v>0</v>
      </c>
      <c r="DC252" t="s">
        <v>3</v>
      </c>
      <c r="DD252" t="s">
        <v>3</v>
      </c>
      <c r="DE252" t="s">
        <v>3</v>
      </c>
      <c r="DF252" t="s">
        <v>3</v>
      </c>
      <c r="DG252" t="s">
        <v>3</v>
      </c>
      <c r="DH252" t="s">
        <v>3</v>
      </c>
      <c r="DI252" t="s">
        <v>3</v>
      </c>
      <c r="DJ252" t="s">
        <v>3</v>
      </c>
      <c r="DK252" t="s">
        <v>3</v>
      </c>
      <c r="DL252" t="s">
        <v>3</v>
      </c>
      <c r="DM252" t="s">
        <v>3</v>
      </c>
      <c r="DN252">
        <v>0</v>
      </c>
      <c r="DO252">
        <v>0</v>
      </c>
      <c r="DP252">
        <v>1</v>
      </c>
      <c r="DQ252">
        <v>1</v>
      </c>
      <c r="DU252">
        <v>1007</v>
      </c>
      <c r="DV252" t="s">
        <v>52</v>
      </c>
      <c r="DW252" t="s">
        <v>52</v>
      </c>
      <c r="DX252">
        <v>1</v>
      </c>
      <c r="DZ252" t="s">
        <v>3</v>
      </c>
      <c r="EA252" t="s">
        <v>3</v>
      </c>
      <c r="EB252" t="s">
        <v>3</v>
      </c>
      <c r="EC252" t="s">
        <v>3</v>
      </c>
      <c r="EE252">
        <v>92109332</v>
      </c>
      <c r="EF252">
        <v>8</v>
      </c>
      <c r="EG252" t="s">
        <v>154</v>
      </c>
      <c r="EH252">
        <v>0</v>
      </c>
      <c r="EI252" t="s">
        <v>3</v>
      </c>
      <c r="EJ252">
        <v>1</v>
      </c>
      <c r="EK252">
        <v>500001</v>
      </c>
      <c r="EL252" t="s">
        <v>155</v>
      </c>
      <c r="EM252" t="s">
        <v>156</v>
      </c>
      <c r="EO252" t="s">
        <v>3</v>
      </c>
      <c r="EQ252">
        <v>0</v>
      </c>
      <c r="ER252">
        <v>191</v>
      </c>
      <c r="ES252">
        <v>191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FQ252">
        <v>0</v>
      </c>
      <c r="FR252">
        <f t="shared" si="231"/>
        <v>0</v>
      </c>
      <c r="FS252">
        <v>0</v>
      </c>
      <c r="FX252">
        <v>0</v>
      </c>
      <c r="FY252">
        <v>0</v>
      </c>
      <c r="GA252" t="s">
        <v>3</v>
      </c>
      <c r="GD252">
        <v>1</v>
      </c>
      <c r="GF252">
        <v>-1095806176</v>
      </c>
      <c r="GG252">
        <v>2</v>
      </c>
      <c r="GH252">
        <v>1</v>
      </c>
      <c r="GI252">
        <v>2</v>
      </c>
      <c r="GJ252">
        <v>0</v>
      </c>
      <c r="GK252">
        <v>0</v>
      </c>
      <c r="GL252">
        <f t="shared" si="232"/>
        <v>0</v>
      </c>
      <c r="GM252">
        <f t="shared" si="233"/>
        <v>8166.21</v>
      </c>
      <c r="GN252">
        <f t="shared" si="234"/>
        <v>8166.21</v>
      </c>
      <c r="GO252">
        <f t="shared" si="235"/>
        <v>0</v>
      </c>
      <c r="GP252">
        <f t="shared" si="236"/>
        <v>0</v>
      </c>
      <c r="GR252">
        <v>0</v>
      </c>
      <c r="GS252">
        <v>3</v>
      </c>
      <c r="GT252">
        <v>0</v>
      </c>
      <c r="GU252" t="s">
        <v>3</v>
      </c>
      <c r="GV252">
        <f t="shared" si="237"/>
        <v>0</v>
      </c>
      <c r="GW252">
        <v>1</v>
      </c>
      <c r="GX252">
        <f t="shared" si="238"/>
        <v>0</v>
      </c>
      <c r="HA252">
        <v>0</v>
      </c>
      <c r="HB252">
        <v>0</v>
      </c>
      <c r="HC252">
        <f t="shared" si="239"/>
        <v>0</v>
      </c>
      <c r="HE252" t="s">
        <v>3</v>
      </c>
      <c r="HF252" t="s">
        <v>3</v>
      </c>
      <c r="HM252" t="s">
        <v>3</v>
      </c>
      <c r="HN252" t="s">
        <v>3</v>
      </c>
      <c r="HO252" t="s">
        <v>3</v>
      </c>
      <c r="HP252" t="s">
        <v>3</v>
      </c>
      <c r="HQ252" t="s">
        <v>3</v>
      </c>
      <c r="IK252">
        <v>0</v>
      </c>
    </row>
    <row r="253" spans="1:245" x14ac:dyDescent="0.2">
      <c r="A253">
        <v>17</v>
      </c>
      <c r="B253">
        <v>1</v>
      </c>
      <c r="C253">
        <f>ROW(SmtRes!A155)</f>
        <v>155</v>
      </c>
      <c r="D253">
        <f>ROW(EtalonRes!A155)</f>
        <v>155</v>
      </c>
      <c r="E253" t="s">
        <v>326</v>
      </c>
      <c r="F253" t="s">
        <v>327</v>
      </c>
      <c r="G253" t="s">
        <v>328</v>
      </c>
      <c r="H253" t="s">
        <v>329</v>
      </c>
      <c r="I253">
        <f>ROUND(2.76/100,9)</f>
        <v>2.76E-2</v>
      </c>
      <c r="J253">
        <v>0</v>
      </c>
      <c r="K253">
        <f>ROUND(2.76/100,9)</f>
        <v>2.76E-2</v>
      </c>
      <c r="O253">
        <f t="shared" si="202"/>
        <v>17813.7</v>
      </c>
      <c r="P253">
        <f t="shared" si="203"/>
        <v>15903.88</v>
      </c>
      <c r="Q253">
        <f t="shared" si="204"/>
        <v>632.46</v>
      </c>
      <c r="R253">
        <f t="shared" si="205"/>
        <v>212.02</v>
      </c>
      <c r="S253">
        <f t="shared" si="206"/>
        <v>1277.3599999999999</v>
      </c>
      <c r="T253">
        <f t="shared" si="207"/>
        <v>0</v>
      </c>
      <c r="U253">
        <f t="shared" si="208"/>
        <v>4.968</v>
      </c>
      <c r="V253">
        <f t="shared" si="209"/>
        <v>0.49680000000000002</v>
      </c>
      <c r="W253">
        <f t="shared" si="210"/>
        <v>0</v>
      </c>
      <c r="X253">
        <f t="shared" si="211"/>
        <v>1519.17</v>
      </c>
      <c r="Y253">
        <f t="shared" si="212"/>
        <v>863.84</v>
      </c>
      <c r="AA253">
        <v>94798619</v>
      </c>
      <c r="AB253">
        <f t="shared" si="213"/>
        <v>57993.120000000003</v>
      </c>
      <c r="AC253">
        <f t="shared" si="214"/>
        <v>54774.49</v>
      </c>
      <c r="AD253">
        <f t="shared" si="215"/>
        <v>1906.43</v>
      </c>
      <c r="AE253">
        <f t="shared" si="216"/>
        <v>217.8</v>
      </c>
      <c r="AF253">
        <f t="shared" si="217"/>
        <v>1312.2</v>
      </c>
      <c r="AG253">
        <f t="shared" si="218"/>
        <v>0</v>
      </c>
      <c r="AH253">
        <f t="shared" si="219"/>
        <v>180</v>
      </c>
      <c r="AI253">
        <f t="shared" si="220"/>
        <v>18</v>
      </c>
      <c r="AJ253">
        <f t="shared" si="221"/>
        <v>0</v>
      </c>
      <c r="AK253">
        <v>57993.120000000003</v>
      </c>
      <c r="AL253">
        <v>54774.49</v>
      </c>
      <c r="AM253">
        <v>1906.43</v>
      </c>
      <c r="AN253">
        <v>217.8</v>
      </c>
      <c r="AO253">
        <v>1312.2</v>
      </c>
      <c r="AP253">
        <v>0</v>
      </c>
      <c r="AQ253">
        <v>180</v>
      </c>
      <c r="AR253">
        <v>18</v>
      </c>
      <c r="AS253">
        <v>0</v>
      </c>
      <c r="AT253">
        <v>102</v>
      </c>
      <c r="AU253">
        <v>58</v>
      </c>
      <c r="AV253">
        <v>1</v>
      </c>
      <c r="AW253">
        <v>1</v>
      </c>
      <c r="AZ253">
        <v>1</v>
      </c>
      <c r="BA253">
        <v>35.270000000000003</v>
      </c>
      <c r="BB253">
        <v>12.02</v>
      </c>
      <c r="BC253">
        <v>10.52</v>
      </c>
      <c r="BD253" t="s">
        <v>3</v>
      </c>
      <c r="BE253" t="s">
        <v>3</v>
      </c>
      <c r="BF253" t="s">
        <v>3</v>
      </c>
      <c r="BG253" t="s">
        <v>3</v>
      </c>
      <c r="BH253">
        <v>0</v>
      </c>
      <c r="BI253">
        <v>1</v>
      </c>
      <c r="BJ253" t="s">
        <v>330</v>
      </c>
      <c r="BM253">
        <v>6001</v>
      </c>
      <c r="BN253">
        <v>0</v>
      </c>
      <c r="BO253" t="s">
        <v>327</v>
      </c>
      <c r="BP253">
        <v>1</v>
      </c>
      <c r="BQ253">
        <v>2</v>
      </c>
      <c r="BR253">
        <v>0</v>
      </c>
      <c r="BS253">
        <v>35.270000000000003</v>
      </c>
      <c r="BT253">
        <v>1</v>
      </c>
      <c r="BU253">
        <v>1</v>
      </c>
      <c r="BV253">
        <v>1</v>
      </c>
      <c r="BW253">
        <v>1</v>
      </c>
      <c r="BX253">
        <v>1</v>
      </c>
      <c r="BY253" t="s">
        <v>3</v>
      </c>
      <c r="BZ253">
        <v>102</v>
      </c>
      <c r="CA253">
        <v>58</v>
      </c>
      <c r="CB253" t="s">
        <v>3</v>
      </c>
      <c r="CE253">
        <v>0</v>
      </c>
      <c r="CF253">
        <v>0</v>
      </c>
      <c r="CG253">
        <v>0</v>
      </c>
      <c r="CM253">
        <v>0</v>
      </c>
      <c r="CN253" t="s">
        <v>3</v>
      </c>
      <c r="CO253">
        <v>0</v>
      </c>
      <c r="CP253">
        <f t="shared" si="222"/>
        <v>17813.7</v>
      </c>
      <c r="CQ253">
        <f t="shared" si="223"/>
        <v>576227.6348</v>
      </c>
      <c r="CR253">
        <f t="shared" si="224"/>
        <v>22915.2886</v>
      </c>
      <c r="CS253">
        <f t="shared" si="225"/>
        <v>7681.8060000000014</v>
      </c>
      <c r="CT253">
        <f t="shared" si="226"/>
        <v>46281.294000000009</v>
      </c>
      <c r="CU253">
        <f t="shared" si="227"/>
        <v>0</v>
      </c>
      <c r="CV253">
        <f t="shared" si="228"/>
        <v>180</v>
      </c>
      <c r="CW253">
        <f t="shared" si="229"/>
        <v>18</v>
      </c>
      <c r="CX253">
        <f t="shared" si="230"/>
        <v>0</v>
      </c>
      <c r="CY253">
        <f>(((S253+R253)*AT253)/100)</f>
        <v>1519.1675999999998</v>
      </c>
      <c r="CZ253">
        <f>(((S253+R253)*AU253)/100)</f>
        <v>863.84039999999993</v>
      </c>
      <c r="DC253" t="s">
        <v>3</v>
      </c>
      <c r="DD253" t="s">
        <v>3</v>
      </c>
      <c r="DE253" t="s">
        <v>3</v>
      </c>
      <c r="DF253" t="s">
        <v>3</v>
      </c>
      <c r="DG253" t="s">
        <v>3</v>
      </c>
      <c r="DH253" t="s">
        <v>3</v>
      </c>
      <c r="DI253" t="s">
        <v>3</v>
      </c>
      <c r="DJ253" t="s">
        <v>3</v>
      </c>
      <c r="DK253" t="s">
        <v>3</v>
      </c>
      <c r="DL253" t="s">
        <v>3</v>
      </c>
      <c r="DM253" t="s">
        <v>3</v>
      </c>
      <c r="DN253">
        <v>0</v>
      </c>
      <c r="DO253">
        <v>0</v>
      </c>
      <c r="DP253">
        <v>1</v>
      </c>
      <c r="DQ253">
        <v>1</v>
      </c>
      <c r="DU253">
        <v>1013</v>
      </c>
      <c r="DV253" t="s">
        <v>329</v>
      </c>
      <c r="DW253" t="s">
        <v>329</v>
      </c>
      <c r="DX253">
        <v>1</v>
      </c>
      <c r="DZ253" t="s">
        <v>3</v>
      </c>
      <c r="EA253" t="s">
        <v>3</v>
      </c>
      <c r="EB253" t="s">
        <v>3</v>
      </c>
      <c r="EC253" t="s">
        <v>3</v>
      </c>
      <c r="EE253">
        <v>92109386</v>
      </c>
      <c r="EF253">
        <v>2</v>
      </c>
      <c r="EG253" t="s">
        <v>21</v>
      </c>
      <c r="EH253">
        <v>6</v>
      </c>
      <c r="EI253" t="s">
        <v>331</v>
      </c>
      <c r="EJ253">
        <v>1</v>
      </c>
      <c r="EK253">
        <v>6001</v>
      </c>
      <c r="EL253" t="s">
        <v>331</v>
      </c>
      <c r="EM253" t="s">
        <v>332</v>
      </c>
      <c r="EO253" t="s">
        <v>3</v>
      </c>
      <c r="EQ253">
        <v>0</v>
      </c>
      <c r="ER253">
        <v>57993.120000000003</v>
      </c>
      <c r="ES253">
        <v>54774.49</v>
      </c>
      <c r="ET253">
        <v>1906.43</v>
      </c>
      <c r="EU253">
        <v>217.8</v>
      </c>
      <c r="EV253">
        <v>1312.2</v>
      </c>
      <c r="EW253">
        <v>180</v>
      </c>
      <c r="EX253">
        <v>18</v>
      </c>
      <c r="EY253">
        <v>0</v>
      </c>
      <c r="FQ253">
        <v>0</v>
      </c>
      <c r="FR253">
        <f t="shared" si="231"/>
        <v>0</v>
      </c>
      <c r="FS253">
        <v>0</v>
      </c>
      <c r="FX253">
        <v>102</v>
      </c>
      <c r="FY253">
        <v>58</v>
      </c>
      <c r="GA253" t="s">
        <v>3</v>
      </c>
      <c r="GD253">
        <v>1</v>
      </c>
      <c r="GF253">
        <v>-887114588</v>
      </c>
      <c r="GG253">
        <v>2</v>
      </c>
      <c r="GH253">
        <v>1</v>
      </c>
      <c r="GI253">
        <v>2</v>
      </c>
      <c r="GJ253">
        <v>0</v>
      </c>
      <c r="GK253">
        <v>0</v>
      </c>
      <c r="GL253">
        <f t="shared" si="232"/>
        <v>0</v>
      </c>
      <c r="GM253">
        <f t="shared" si="233"/>
        <v>20196.71</v>
      </c>
      <c r="GN253">
        <f t="shared" si="234"/>
        <v>20196.71</v>
      </c>
      <c r="GO253">
        <f t="shared" si="235"/>
        <v>0</v>
      </c>
      <c r="GP253">
        <f t="shared" si="236"/>
        <v>0</v>
      </c>
      <c r="GR253">
        <v>0</v>
      </c>
      <c r="GS253">
        <v>3</v>
      </c>
      <c r="GT253">
        <v>0</v>
      </c>
      <c r="GU253" t="s">
        <v>3</v>
      </c>
      <c r="GV253">
        <f t="shared" si="237"/>
        <v>0</v>
      </c>
      <c r="GW253">
        <v>1</v>
      </c>
      <c r="GX253">
        <f t="shared" si="238"/>
        <v>0</v>
      </c>
      <c r="HA253">
        <v>0</v>
      </c>
      <c r="HB253">
        <v>0</v>
      </c>
      <c r="HC253">
        <f t="shared" si="239"/>
        <v>0</v>
      </c>
      <c r="HE253" t="s">
        <v>3</v>
      </c>
      <c r="HF253" t="s">
        <v>3</v>
      </c>
      <c r="HM253" t="s">
        <v>3</v>
      </c>
      <c r="HN253" t="s">
        <v>333</v>
      </c>
      <c r="HO253" t="s">
        <v>334</v>
      </c>
      <c r="HP253" t="s">
        <v>331</v>
      </c>
      <c r="HQ253" t="s">
        <v>331</v>
      </c>
      <c r="IK253">
        <v>0</v>
      </c>
    </row>
    <row r="254" spans="1:245" x14ac:dyDescent="0.2">
      <c r="A254">
        <v>18</v>
      </c>
      <c r="B254">
        <v>1</v>
      </c>
      <c r="C254">
        <v>154</v>
      </c>
      <c r="E254" t="s">
        <v>335</v>
      </c>
      <c r="F254" t="s">
        <v>336</v>
      </c>
      <c r="G254" t="s">
        <v>337</v>
      </c>
      <c r="H254" t="s">
        <v>52</v>
      </c>
      <c r="I254">
        <f>I253*J254</f>
        <v>-2.8151999999999999</v>
      </c>
      <c r="J254">
        <v>-102</v>
      </c>
      <c r="K254">
        <v>-102</v>
      </c>
      <c r="O254">
        <f t="shared" si="202"/>
        <v>-15538.1</v>
      </c>
      <c r="P254">
        <f t="shared" si="203"/>
        <v>-15538.1</v>
      </c>
      <c r="Q254">
        <f t="shared" si="204"/>
        <v>0</v>
      </c>
      <c r="R254">
        <f t="shared" si="205"/>
        <v>0</v>
      </c>
      <c r="S254">
        <f t="shared" si="206"/>
        <v>0</v>
      </c>
      <c r="T254">
        <f t="shared" si="207"/>
        <v>0</v>
      </c>
      <c r="U254">
        <f t="shared" si="208"/>
        <v>0</v>
      </c>
      <c r="V254">
        <f t="shared" si="209"/>
        <v>0</v>
      </c>
      <c r="W254">
        <f t="shared" si="210"/>
        <v>0</v>
      </c>
      <c r="X254">
        <f t="shared" si="211"/>
        <v>0</v>
      </c>
      <c r="Y254">
        <f t="shared" si="212"/>
        <v>0</v>
      </c>
      <c r="AA254">
        <v>94798619</v>
      </c>
      <c r="AB254">
        <f t="shared" si="213"/>
        <v>512</v>
      </c>
      <c r="AC254">
        <f t="shared" si="214"/>
        <v>512</v>
      </c>
      <c r="AD254">
        <f t="shared" si="215"/>
        <v>0</v>
      </c>
      <c r="AE254">
        <f t="shared" si="216"/>
        <v>0</v>
      </c>
      <c r="AF254">
        <f t="shared" si="217"/>
        <v>0</v>
      </c>
      <c r="AG254">
        <f t="shared" si="218"/>
        <v>0</v>
      </c>
      <c r="AH254">
        <f t="shared" si="219"/>
        <v>0</v>
      </c>
      <c r="AI254">
        <f t="shared" si="220"/>
        <v>0</v>
      </c>
      <c r="AJ254">
        <f t="shared" si="221"/>
        <v>0</v>
      </c>
      <c r="AK254">
        <v>512</v>
      </c>
      <c r="AL254">
        <v>512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102</v>
      </c>
      <c r="AU254">
        <v>58</v>
      </c>
      <c r="AV254">
        <v>1</v>
      </c>
      <c r="AW254">
        <v>1</v>
      </c>
      <c r="AZ254">
        <v>1</v>
      </c>
      <c r="BA254">
        <v>1</v>
      </c>
      <c r="BB254">
        <v>1</v>
      </c>
      <c r="BC254">
        <v>10.78</v>
      </c>
      <c r="BD254" t="s">
        <v>3</v>
      </c>
      <c r="BE254" t="s">
        <v>3</v>
      </c>
      <c r="BF254" t="s">
        <v>3</v>
      </c>
      <c r="BG254" t="s">
        <v>3</v>
      </c>
      <c r="BH254">
        <v>3</v>
      </c>
      <c r="BI254">
        <v>1</v>
      </c>
      <c r="BJ254" t="s">
        <v>338</v>
      </c>
      <c r="BM254">
        <v>6001</v>
      </c>
      <c r="BN254">
        <v>0</v>
      </c>
      <c r="BO254" t="s">
        <v>336</v>
      </c>
      <c r="BP254">
        <v>1</v>
      </c>
      <c r="BQ254">
        <v>2</v>
      </c>
      <c r="BR254">
        <v>1</v>
      </c>
      <c r="BS254">
        <v>1</v>
      </c>
      <c r="BT254">
        <v>1</v>
      </c>
      <c r="BU254">
        <v>1</v>
      </c>
      <c r="BV254">
        <v>1</v>
      </c>
      <c r="BW254">
        <v>1</v>
      </c>
      <c r="BX254">
        <v>1</v>
      </c>
      <c r="BY254" t="s">
        <v>3</v>
      </c>
      <c r="BZ254">
        <v>102</v>
      </c>
      <c r="CA254">
        <v>58</v>
      </c>
      <c r="CB254" t="s">
        <v>3</v>
      </c>
      <c r="CE254">
        <v>0</v>
      </c>
      <c r="CF254">
        <v>0</v>
      </c>
      <c r="CG254">
        <v>0</v>
      </c>
      <c r="CM254">
        <v>0</v>
      </c>
      <c r="CN254" t="s">
        <v>3</v>
      </c>
      <c r="CO254">
        <v>0</v>
      </c>
      <c r="CP254">
        <f t="shared" si="222"/>
        <v>-15538.1</v>
      </c>
      <c r="CQ254">
        <f t="shared" si="223"/>
        <v>5519.36</v>
      </c>
      <c r="CR254">
        <f t="shared" si="224"/>
        <v>0</v>
      </c>
      <c r="CS254">
        <f t="shared" si="225"/>
        <v>0</v>
      </c>
      <c r="CT254">
        <f t="shared" si="226"/>
        <v>0</v>
      </c>
      <c r="CU254">
        <f t="shared" si="227"/>
        <v>0</v>
      </c>
      <c r="CV254">
        <f t="shared" si="228"/>
        <v>0</v>
      </c>
      <c r="CW254">
        <f t="shared" si="229"/>
        <v>0</v>
      </c>
      <c r="CX254">
        <f t="shared" si="230"/>
        <v>0</v>
      </c>
      <c r="CY254">
        <f>(((S254+R254)*AT254)/100)</f>
        <v>0</v>
      </c>
      <c r="CZ254">
        <f>(((S254+R254)*AU254)/100)</f>
        <v>0</v>
      </c>
      <c r="DC254" t="s">
        <v>3</v>
      </c>
      <c r="DD254" t="s">
        <v>3</v>
      </c>
      <c r="DE254" t="s">
        <v>3</v>
      </c>
      <c r="DF254" t="s">
        <v>3</v>
      </c>
      <c r="DG254" t="s">
        <v>3</v>
      </c>
      <c r="DH254" t="s">
        <v>3</v>
      </c>
      <c r="DI254" t="s">
        <v>3</v>
      </c>
      <c r="DJ254" t="s">
        <v>3</v>
      </c>
      <c r="DK254" t="s">
        <v>3</v>
      </c>
      <c r="DL254" t="s">
        <v>3</v>
      </c>
      <c r="DM254" t="s">
        <v>3</v>
      </c>
      <c r="DN254">
        <v>0</v>
      </c>
      <c r="DO254">
        <v>0</v>
      </c>
      <c r="DP254">
        <v>1</v>
      </c>
      <c r="DQ254">
        <v>1</v>
      </c>
      <c r="DU254">
        <v>1007</v>
      </c>
      <c r="DV254" t="s">
        <v>52</v>
      </c>
      <c r="DW254" t="s">
        <v>52</v>
      </c>
      <c r="DX254">
        <v>1</v>
      </c>
      <c r="DZ254" t="s">
        <v>3</v>
      </c>
      <c r="EA254" t="s">
        <v>3</v>
      </c>
      <c r="EB254" t="s">
        <v>3</v>
      </c>
      <c r="EC254" t="s">
        <v>3</v>
      </c>
      <c r="EE254">
        <v>92109386</v>
      </c>
      <c r="EF254">
        <v>2</v>
      </c>
      <c r="EG254" t="s">
        <v>21</v>
      </c>
      <c r="EH254">
        <v>6</v>
      </c>
      <c r="EI254" t="s">
        <v>331</v>
      </c>
      <c r="EJ254">
        <v>1</v>
      </c>
      <c r="EK254">
        <v>6001</v>
      </c>
      <c r="EL254" t="s">
        <v>331</v>
      </c>
      <c r="EM254" t="s">
        <v>332</v>
      </c>
      <c r="EO254" t="s">
        <v>3</v>
      </c>
      <c r="EQ254">
        <v>0</v>
      </c>
      <c r="ER254">
        <v>512</v>
      </c>
      <c r="ES254">
        <v>512</v>
      </c>
      <c r="ET254">
        <v>0</v>
      </c>
      <c r="EU254">
        <v>0</v>
      </c>
      <c r="EV254">
        <v>0</v>
      </c>
      <c r="EW254">
        <v>0</v>
      </c>
      <c r="EX254">
        <v>0</v>
      </c>
      <c r="FQ254">
        <v>0</v>
      </c>
      <c r="FR254">
        <f t="shared" si="231"/>
        <v>0</v>
      </c>
      <c r="FS254">
        <v>0</v>
      </c>
      <c r="FX254">
        <v>102</v>
      </c>
      <c r="FY254">
        <v>58</v>
      </c>
      <c r="GA254" t="s">
        <v>3</v>
      </c>
      <c r="GD254">
        <v>1</v>
      </c>
      <c r="GF254">
        <v>44938050</v>
      </c>
      <c r="GG254">
        <v>2</v>
      </c>
      <c r="GH254">
        <v>1</v>
      </c>
      <c r="GI254">
        <v>2</v>
      </c>
      <c r="GJ254">
        <v>0</v>
      </c>
      <c r="GK254">
        <v>0</v>
      </c>
      <c r="GL254">
        <f t="shared" si="232"/>
        <v>0</v>
      </c>
      <c r="GM254">
        <f t="shared" si="233"/>
        <v>-15538.1</v>
      </c>
      <c r="GN254">
        <f t="shared" si="234"/>
        <v>-15538.1</v>
      </c>
      <c r="GO254">
        <f t="shared" si="235"/>
        <v>0</v>
      </c>
      <c r="GP254">
        <f t="shared" si="236"/>
        <v>0</v>
      </c>
      <c r="GR254">
        <v>0</v>
      </c>
      <c r="GS254">
        <v>3</v>
      </c>
      <c r="GT254">
        <v>0</v>
      </c>
      <c r="GU254" t="s">
        <v>3</v>
      </c>
      <c r="GV254">
        <f t="shared" si="237"/>
        <v>0</v>
      </c>
      <c r="GW254">
        <v>1</v>
      </c>
      <c r="GX254">
        <f t="shared" si="238"/>
        <v>0</v>
      </c>
      <c r="HA254">
        <v>0</v>
      </c>
      <c r="HB254">
        <v>0</v>
      </c>
      <c r="HC254">
        <f t="shared" si="239"/>
        <v>0</v>
      </c>
      <c r="HE254" t="s">
        <v>3</v>
      </c>
      <c r="HF254" t="s">
        <v>3</v>
      </c>
      <c r="HM254" t="s">
        <v>3</v>
      </c>
      <c r="HN254" t="s">
        <v>333</v>
      </c>
      <c r="HO254" t="s">
        <v>334</v>
      </c>
      <c r="HP254" t="s">
        <v>331</v>
      </c>
      <c r="HQ254" t="s">
        <v>331</v>
      </c>
      <c r="IK254">
        <v>0</v>
      </c>
    </row>
    <row r="255" spans="1:245" x14ac:dyDescent="0.2">
      <c r="A255">
        <v>17</v>
      </c>
      <c r="B255">
        <v>1</v>
      </c>
      <c r="E255" t="s">
        <v>339</v>
      </c>
      <c r="F255" t="s">
        <v>340</v>
      </c>
      <c r="G255" t="s">
        <v>341</v>
      </c>
      <c r="H255" t="s">
        <v>52</v>
      </c>
      <c r="I255">
        <v>2.8151999999999999</v>
      </c>
      <c r="J255">
        <v>0</v>
      </c>
      <c r="K255">
        <v>2.8151999999999999</v>
      </c>
      <c r="O255">
        <f t="shared" si="202"/>
        <v>19968.07</v>
      </c>
      <c r="P255">
        <f t="shared" si="203"/>
        <v>19968.07</v>
      </c>
      <c r="Q255">
        <f t="shared" si="204"/>
        <v>0</v>
      </c>
      <c r="R255">
        <f t="shared" si="205"/>
        <v>0</v>
      </c>
      <c r="S255">
        <f t="shared" si="206"/>
        <v>0</v>
      </c>
      <c r="T255">
        <f t="shared" si="207"/>
        <v>0</v>
      </c>
      <c r="U255">
        <f t="shared" si="208"/>
        <v>0</v>
      </c>
      <c r="V255">
        <f t="shared" si="209"/>
        <v>0</v>
      </c>
      <c r="W255">
        <f t="shared" si="210"/>
        <v>0</v>
      </c>
      <c r="X255">
        <f t="shared" si="211"/>
        <v>0</v>
      </c>
      <c r="Y255">
        <f t="shared" si="212"/>
        <v>0</v>
      </c>
      <c r="AA255">
        <v>94798619</v>
      </c>
      <c r="AB255">
        <f t="shared" si="213"/>
        <v>635</v>
      </c>
      <c r="AC255">
        <f t="shared" si="214"/>
        <v>635</v>
      </c>
      <c r="AD255">
        <f t="shared" si="215"/>
        <v>0</v>
      </c>
      <c r="AE255">
        <f t="shared" si="216"/>
        <v>0</v>
      </c>
      <c r="AF255">
        <f t="shared" si="217"/>
        <v>0</v>
      </c>
      <c r="AG255">
        <f t="shared" si="218"/>
        <v>0</v>
      </c>
      <c r="AH255">
        <f t="shared" si="219"/>
        <v>0</v>
      </c>
      <c r="AI255">
        <f t="shared" si="220"/>
        <v>0</v>
      </c>
      <c r="AJ255">
        <f t="shared" si="221"/>
        <v>0</v>
      </c>
      <c r="AK255">
        <v>635</v>
      </c>
      <c r="AL255">
        <v>635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1</v>
      </c>
      <c r="AW255">
        <v>1</v>
      </c>
      <c r="AZ255">
        <v>1</v>
      </c>
      <c r="BA255">
        <v>1</v>
      </c>
      <c r="BB255">
        <v>1</v>
      </c>
      <c r="BC255">
        <v>11.17</v>
      </c>
      <c r="BD255" t="s">
        <v>3</v>
      </c>
      <c r="BE255" t="s">
        <v>3</v>
      </c>
      <c r="BF255" t="s">
        <v>3</v>
      </c>
      <c r="BG255" t="s">
        <v>3</v>
      </c>
      <c r="BH255">
        <v>3</v>
      </c>
      <c r="BI255">
        <v>1</v>
      </c>
      <c r="BJ255" t="s">
        <v>342</v>
      </c>
      <c r="BM255">
        <v>500001</v>
      </c>
      <c r="BN255">
        <v>0</v>
      </c>
      <c r="BO255" t="s">
        <v>340</v>
      </c>
      <c r="BP255">
        <v>1</v>
      </c>
      <c r="BQ255">
        <v>8</v>
      </c>
      <c r="BR255">
        <v>0</v>
      </c>
      <c r="BS255">
        <v>1</v>
      </c>
      <c r="BT255">
        <v>1</v>
      </c>
      <c r="BU255">
        <v>1</v>
      </c>
      <c r="BV255">
        <v>1</v>
      </c>
      <c r="BW255">
        <v>1</v>
      </c>
      <c r="BX255">
        <v>1</v>
      </c>
      <c r="BY255" t="s">
        <v>3</v>
      </c>
      <c r="BZ255">
        <v>0</v>
      </c>
      <c r="CA255">
        <v>0</v>
      </c>
      <c r="CB255" t="s">
        <v>3</v>
      </c>
      <c r="CE255">
        <v>0</v>
      </c>
      <c r="CF255">
        <v>0</v>
      </c>
      <c r="CG255">
        <v>0</v>
      </c>
      <c r="CM255">
        <v>0</v>
      </c>
      <c r="CN255" t="s">
        <v>3</v>
      </c>
      <c r="CO255">
        <v>0</v>
      </c>
      <c r="CP255">
        <f t="shared" si="222"/>
        <v>19968.07</v>
      </c>
      <c r="CQ255">
        <f t="shared" si="223"/>
        <v>7092.95</v>
      </c>
      <c r="CR255">
        <f t="shared" si="224"/>
        <v>0</v>
      </c>
      <c r="CS255">
        <f t="shared" si="225"/>
        <v>0</v>
      </c>
      <c r="CT255">
        <f t="shared" si="226"/>
        <v>0</v>
      </c>
      <c r="CU255">
        <f t="shared" si="227"/>
        <v>0</v>
      </c>
      <c r="CV255">
        <f t="shared" si="228"/>
        <v>0</v>
      </c>
      <c r="CW255">
        <f t="shared" si="229"/>
        <v>0</v>
      </c>
      <c r="CX255">
        <f t="shared" si="230"/>
        <v>0</v>
      </c>
      <c r="CY255">
        <f>0</f>
        <v>0</v>
      </c>
      <c r="CZ255">
        <f>0</f>
        <v>0</v>
      </c>
      <c r="DC255" t="s">
        <v>3</v>
      </c>
      <c r="DD255" t="s">
        <v>3</v>
      </c>
      <c r="DE255" t="s">
        <v>3</v>
      </c>
      <c r="DF255" t="s">
        <v>3</v>
      </c>
      <c r="DG255" t="s">
        <v>3</v>
      </c>
      <c r="DH255" t="s">
        <v>3</v>
      </c>
      <c r="DI255" t="s">
        <v>3</v>
      </c>
      <c r="DJ255" t="s">
        <v>3</v>
      </c>
      <c r="DK255" t="s">
        <v>3</v>
      </c>
      <c r="DL255" t="s">
        <v>3</v>
      </c>
      <c r="DM255" t="s">
        <v>3</v>
      </c>
      <c r="DN255">
        <v>0</v>
      </c>
      <c r="DO255">
        <v>0</v>
      </c>
      <c r="DP255">
        <v>1</v>
      </c>
      <c r="DQ255">
        <v>1</v>
      </c>
      <c r="DU255">
        <v>1007</v>
      </c>
      <c r="DV255" t="s">
        <v>52</v>
      </c>
      <c r="DW255" t="s">
        <v>52</v>
      </c>
      <c r="DX255">
        <v>1</v>
      </c>
      <c r="DZ255" t="s">
        <v>3</v>
      </c>
      <c r="EA255" t="s">
        <v>3</v>
      </c>
      <c r="EB255" t="s">
        <v>3</v>
      </c>
      <c r="EC255" t="s">
        <v>3</v>
      </c>
      <c r="EE255">
        <v>92109332</v>
      </c>
      <c r="EF255">
        <v>8</v>
      </c>
      <c r="EG255" t="s">
        <v>154</v>
      </c>
      <c r="EH255">
        <v>0</v>
      </c>
      <c r="EI255" t="s">
        <v>3</v>
      </c>
      <c r="EJ255">
        <v>1</v>
      </c>
      <c r="EK255">
        <v>500001</v>
      </c>
      <c r="EL255" t="s">
        <v>155</v>
      </c>
      <c r="EM255" t="s">
        <v>156</v>
      </c>
      <c r="EO255" t="s">
        <v>3</v>
      </c>
      <c r="EQ255">
        <v>0</v>
      </c>
      <c r="ER255">
        <v>635</v>
      </c>
      <c r="ES255">
        <v>635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FQ255">
        <v>0</v>
      </c>
      <c r="FR255">
        <f t="shared" si="231"/>
        <v>0</v>
      </c>
      <c r="FS255">
        <v>0</v>
      </c>
      <c r="FX255">
        <v>0</v>
      </c>
      <c r="FY255">
        <v>0</v>
      </c>
      <c r="GA255" t="s">
        <v>3</v>
      </c>
      <c r="GD255">
        <v>1</v>
      </c>
      <c r="GF255">
        <v>1509225767</v>
      </c>
      <c r="GG255">
        <v>2</v>
      </c>
      <c r="GH255">
        <v>1</v>
      </c>
      <c r="GI255">
        <v>2</v>
      </c>
      <c r="GJ255">
        <v>0</v>
      </c>
      <c r="GK255">
        <v>0</v>
      </c>
      <c r="GL255">
        <f t="shared" si="232"/>
        <v>0</v>
      </c>
      <c r="GM255">
        <f t="shared" si="233"/>
        <v>19968.07</v>
      </c>
      <c r="GN255">
        <f t="shared" si="234"/>
        <v>19968.07</v>
      </c>
      <c r="GO255">
        <f t="shared" si="235"/>
        <v>0</v>
      </c>
      <c r="GP255">
        <f t="shared" si="236"/>
        <v>0</v>
      </c>
      <c r="GR255">
        <v>0</v>
      </c>
      <c r="GS255">
        <v>3</v>
      </c>
      <c r="GT255">
        <v>0</v>
      </c>
      <c r="GU255" t="s">
        <v>3</v>
      </c>
      <c r="GV255">
        <f t="shared" si="237"/>
        <v>0</v>
      </c>
      <c r="GW255">
        <v>1</v>
      </c>
      <c r="GX255">
        <f t="shared" si="238"/>
        <v>0</v>
      </c>
      <c r="HA255">
        <v>0</v>
      </c>
      <c r="HB255">
        <v>0</v>
      </c>
      <c r="HC255">
        <f t="shared" si="239"/>
        <v>0</v>
      </c>
      <c r="HE255" t="s">
        <v>3</v>
      </c>
      <c r="HF255" t="s">
        <v>3</v>
      </c>
      <c r="HM255" t="s">
        <v>3</v>
      </c>
      <c r="HN255" t="s">
        <v>3</v>
      </c>
      <c r="HO255" t="s">
        <v>3</v>
      </c>
      <c r="HP255" t="s">
        <v>3</v>
      </c>
      <c r="HQ255" t="s">
        <v>3</v>
      </c>
      <c r="IK255">
        <v>0</v>
      </c>
    </row>
    <row r="256" spans="1:245" x14ac:dyDescent="0.2">
      <c r="A256">
        <v>17</v>
      </c>
      <c r="B256">
        <v>1</v>
      </c>
      <c r="C256">
        <f>ROW(SmtRes!A161)</f>
        <v>161</v>
      </c>
      <c r="D256">
        <f>ROW(EtalonRes!A161)</f>
        <v>161</v>
      </c>
      <c r="E256" t="s">
        <v>3</v>
      </c>
      <c r="F256" t="s">
        <v>343</v>
      </c>
      <c r="G256" t="s">
        <v>344</v>
      </c>
      <c r="H256" t="s">
        <v>345</v>
      </c>
      <c r="I256">
        <v>0</v>
      </c>
      <c r="J256">
        <v>0</v>
      </c>
      <c r="K256">
        <v>0</v>
      </c>
      <c r="O256">
        <f t="shared" si="202"/>
        <v>0</v>
      </c>
      <c r="P256">
        <f t="shared" si="203"/>
        <v>0</v>
      </c>
      <c r="Q256">
        <f t="shared" si="204"/>
        <v>0</v>
      </c>
      <c r="R256">
        <f t="shared" si="205"/>
        <v>0</v>
      </c>
      <c r="S256">
        <f t="shared" si="206"/>
        <v>0</v>
      </c>
      <c r="T256">
        <f t="shared" si="207"/>
        <v>0</v>
      </c>
      <c r="U256">
        <f t="shared" si="208"/>
        <v>0</v>
      </c>
      <c r="V256">
        <f t="shared" si="209"/>
        <v>0</v>
      </c>
      <c r="W256">
        <f t="shared" si="210"/>
        <v>0</v>
      </c>
      <c r="X256">
        <f t="shared" si="211"/>
        <v>0</v>
      </c>
      <c r="Y256">
        <f t="shared" si="212"/>
        <v>0</v>
      </c>
      <c r="AA256">
        <v>-1</v>
      </c>
      <c r="AB256">
        <f t="shared" si="213"/>
        <v>6165.06</v>
      </c>
      <c r="AC256">
        <f t="shared" si="214"/>
        <v>6020.35</v>
      </c>
      <c r="AD256">
        <f t="shared" si="215"/>
        <v>40.049999999999997</v>
      </c>
      <c r="AE256">
        <f t="shared" si="216"/>
        <v>1.94</v>
      </c>
      <c r="AF256">
        <f t="shared" si="217"/>
        <v>104.66</v>
      </c>
      <c r="AG256">
        <f t="shared" si="218"/>
        <v>0</v>
      </c>
      <c r="AH256">
        <f t="shared" si="219"/>
        <v>12.64</v>
      </c>
      <c r="AI256">
        <f t="shared" si="220"/>
        <v>0.16</v>
      </c>
      <c r="AJ256">
        <f t="shared" si="221"/>
        <v>0</v>
      </c>
      <c r="AK256">
        <v>6165.06</v>
      </c>
      <c r="AL256">
        <v>6020.35</v>
      </c>
      <c r="AM256">
        <v>40.049999999999997</v>
      </c>
      <c r="AN256">
        <v>1.94</v>
      </c>
      <c r="AO256">
        <v>104.66</v>
      </c>
      <c r="AP256">
        <v>0</v>
      </c>
      <c r="AQ256">
        <v>12.64</v>
      </c>
      <c r="AR256">
        <v>0.16</v>
      </c>
      <c r="AS256">
        <v>0</v>
      </c>
      <c r="AT256">
        <v>102</v>
      </c>
      <c r="AU256">
        <v>58</v>
      </c>
      <c r="AV256">
        <v>1</v>
      </c>
      <c r="AW256">
        <v>1</v>
      </c>
      <c r="AZ256">
        <v>1</v>
      </c>
      <c r="BA256">
        <v>35.270000000000003</v>
      </c>
      <c r="BB256">
        <v>12.98</v>
      </c>
      <c r="BC256">
        <v>11.8</v>
      </c>
      <c r="BD256" t="s">
        <v>3</v>
      </c>
      <c r="BE256" t="s">
        <v>3</v>
      </c>
      <c r="BF256" t="s">
        <v>3</v>
      </c>
      <c r="BG256" t="s">
        <v>3</v>
      </c>
      <c r="BH256">
        <v>0</v>
      </c>
      <c r="BI256">
        <v>1</v>
      </c>
      <c r="BJ256" t="s">
        <v>346</v>
      </c>
      <c r="BM256">
        <v>6001</v>
      </c>
      <c r="BN256">
        <v>0</v>
      </c>
      <c r="BO256" t="s">
        <v>343</v>
      </c>
      <c r="BP256">
        <v>1</v>
      </c>
      <c r="BQ256">
        <v>2</v>
      </c>
      <c r="BR256">
        <v>0</v>
      </c>
      <c r="BS256">
        <v>35.270000000000003</v>
      </c>
      <c r="BT256">
        <v>1</v>
      </c>
      <c r="BU256">
        <v>1</v>
      </c>
      <c r="BV256">
        <v>1</v>
      </c>
      <c r="BW256">
        <v>1</v>
      </c>
      <c r="BX256">
        <v>1</v>
      </c>
      <c r="BY256" t="s">
        <v>3</v>
      </c>
      <c r="BZ256">
        <v>102</v>
      </c>
      <c r="CA256">
        <v>58</v>
      </c>
      <c r="CB256" t="s">
        <v>3</v>
      </c>
      <c r="CE256">
        <v>0</v>
      </c>
      <c r="CF256">
        <v>0</v>
      </c>
      <c r="CG256">
        <v>0</v>
      </c>
      <c r="CM256">
        <v>0</v>
      </c>
      <c r="CN256" t="s">
        <v>3</v>
      </c>
      <c r="CO256">
        <v>0</v>
      </c>
      <c r="CP256">
        <f t="shared" si="222"/>
        <v>0</v>
      </c>
      <c r="CQ256">
        <f t="shared" si="223"/>
        <v>71040.13</v>
      </c>
      <c r="CR256">
        <f t="shared" si="224"/>
        <v>519.84899999999993</v>
      </c>
      <c r="CS256">
        <f t="shared" si="225"/>
        <v>68.4238</v>
      </c>
      <c r="CT256">
        <f t="shared" si="226"/>
        <v>3691.3582000000001</v>
      </c>
      <c r="CU256">
        <f t="shared" si="227"/>
        <v>0</v>
      </c>
      <c r="CV256">
        <f t="shared" si="228"/>
        <v>12.64</v>
      </c>
      <c r="CW256">
        <f t="shared" si="229"/>
        <v>0.16</v>
      </c>
      <c r="CX256">
        <f t="shared" si="230"/>
        <v>0</v>
      </c>
      <c r="CY256">
        <f>(((S256+R256)*AT256)/100)</f>
        <v>0</v>
      </c>
      <c r="CZ256">
        <f>(((S256+R256)*AU256)/100)</f>
        <v>0</v>
      </c>
      <c r="DC256" t="s">
        <v>3</v>
      </c>
      <c r="DD256" t="s">
        <v>3</v>
      </c>
      <c r="DE256" t="s">
        <v>3</v>
      </c>
      <c r="DF256" t="s">
        <v>3</v>
      </c>
      <c r="DG256" t="s">
        <v>3</v>
      </c>
      <c r="DH256" t="s">
        <v>3</v>
      </c>
      <c r="DI256" t="s">
        <v>3</v>
      </c>
      <c r="DJ256" t="s">
        <v>3</v>
      </c>
      <c r="DK256" t="s">
        <v>3</v>
      </c>
      <c r="DL256" t="s">
        <v>3</v>
      </c>
      <c r="DM256" t="s">
        <v>3</v>
      </c>
      <c r="DN256">
        <v>0</v>
      </c>
      <c r="DO256">
        <v>0</v>
      </c>
      <c r="DP256">
        <v>1</v>
      </c>
      <c r="DQ256">
        <v>1</v>
      </c>
      <c r="DU256">
        <v>1013</v>
      </c>
      <c r="DV256" t="s">
        <v>345</v>
      </c>
      <c r="DW256" t="s">
        <v>345</v>
      </c>
      <c r="DX256">
        <v>1</v>
      </c>
      <c r="DZ256" t="s">
        <v>3</v>
      </c>
      <c r="EA256" t="s">
        <v>3</v>
      </c>
      <c r="EB256" t="s">
        <v>3</v>
      </c>
      <c r="EC256" t="s">
        <v>3</v>
      </c>
      <c r="EE256">
        <v>92109386</v>
      </c>
      <c r="EF256">
        <v>2</v>
      </c>
      <c r="EG256" t="s">
        <v>21</v>
      </c>
      <c r="EH256">
        <v>6</v>
      </c>
      <c r="EI256" t="s">
        <v>331</v>
      </c>
      <c r="EJ256">
        <v>1</v>
      </c>
      <c r="EK256">
        <v>6001</v>
      </c>
      <c r="EL256" t="s">
        <v>331</v>
      </c>
      <c r="EM256" t="s">
        <v>332</v>
      </c>
      <c r="EO256" t="s">
        <v>3</v>
      </c>
      <c r="EQ256">
        <v>1024</v>
      </c>
      <c r="ER256">
        <v>6165.06</v>
      </c>
      <c r="ES256">
        <v>6020.35</v>
      </c>
      <c r="ET256">
        <v>40.049999999999997</v>
      </c>
      <c r="EU256">
        <v>1.94</v>
      </c>
      <c r="EV256">
        <v>104.66</v>
      </c>
      <c r="EW256">
        <v>12.64</v>
      </c>
      <c r="EX256">
        <v>0.16</v>
      </c>
      <c r="EY256">
        <v>0</v>
      </c>
      <c r="FQ256">
        <v>0</v>
      </c>
      <c r="FR256">
        <f t="shared" si="231"/>
        <v>0</v>
      </c>
      <c r="FS256">
        <v>0</v>
      </c>
      <c r="FX256">
        <v>102</v>
      </c>
      <c r="FY256">
        <v>58</v>
      </c>
      <c r="GA256" t="s">
        <v>3</v>
      </c>
      <c r="GD256">
        <v>1</v>
      </c>
      <c r="GF256">
        <v>109153342</v>
      </c>
      <c r="GG256">
        <v>2</v>
      </c>
      <c r="GH256">
        <v>1</v>
      </c>
      <c r="GI256">
        <v>2</v>
      </c>
      <c r="GJ256">
        <v>0</v>
      </c>
      <c r="GK256">
        <v>0</v>
      </c>
      <c r="GL256">
        <f t="shared" si="232"/>
        <v>0</v>
      </c>
      <c r="GM256">
        <f t="shared" si="233"/>
        <v>0</v>
      </c>
      <c r="GN256">
        <f t="shared" si="234"/>
        <v>0</v>
      </c>
      <c r="GO256">
        <f t="shared" si="235"/>
        <v>0</v>
      </c>
      <c r="GP256">
        <f t="shared" si="236"/>
        <v>0</v>
      </c>
      <c r="GR256">
        <v>0</v>
      </c>
      <c r="GS256">
        <v>3</v>
      </c>
      <c r="GT256">
        <v>0</v>
      </c>
      <c r="GU256" t="s">
        <v>3</v>
      </c>
      <c r="GV256">
        <f t="shared" si="237"/>
        <v>0</v>
      </c>
      <c r="GW256">
        <v>1</v>
      </c>
      <c r="GX256">
        <f t="shared" si="238"/>
        <v>0</v>
      </c>
      <c r="HA256">
        <v>0</v>
      </c>
      <c r="HB256">
        <v>0</v>
      </c>
      <c r="HC256">
        <f t="shared" si="239"/>
        <v>0</v>
      </c>
      <c r="HE256" t="s">
        <v>3</v>
      </c>
      <c r="HF256" t="s">
        <v>3</v>
      </c>
      <c r="HM256" t="s">
        <v>3</v>
      </c>
      <c r="HN256" t="s">
        <v>333</v>
      </c>
      <c r="HO256" t="s">
        <v>334</v>
      </c>
      <c r="HP256" t="s">
        <v>331</v>
      </c>
      <c r="HQ256" t="s">
        <v>331</v>
      </c>
      <c r="IK256">
        <v>0</v>
      </c>
    </row>
    <row r="257" spans="1:245" x14ac:dyDescent="0.2">
      <c r="A257">
        <v>17</v>
      </c>
      <c r="B257">
        <v>1</v>
      </c>
      <c r="C257">
        <f>ROW(SmtRes!A169)</f>
        <v>169</v>
      </c>
      <c r="D257">
        <f>ROW(EtalonRes!A169)</f>
        <v>169</v>
      </c>
      <c r="E257" t="s">
        <v>347</v>
      </c>
      <c r="F257" t="s">
        <v>348</v>
      </c>
      <c r="G257" t="s">
        <v>349</v>
      </c>
      <c r="H257" t="s">
        <v>36</v>
      </c>
      <c r="I257">
        <f>ROUND(6/100,9)</f>
        <v>0.06</v>
      </c>
      <c r="J257">
        <v>0</v>
      </c>
      <c r="K257">
        <f>ROUND(6/100,9)</f>
        <v>0.06</v>
      </c>
      <c r="O257">
        <f t="shared" si="202"/>
        <v>1683.77</v>
      </c>
      <c r="P257">
        <f t="shared" si="203"/>
        <v>0</v>
      </c>
      <c r="Q257">
        <f t="shared" si="204"/>
        <v>940.81</v>
      </c>
      <c r="R257">
        <f t="shared" si="205"/>
        <v>617.66</v>
      </c>
      <c r="S257">
        <f t="shared" si="206"/>
        <v>742.96</v>
      </c>
      <c r="T257">
        <f t="shared" si="207"/>
        <v>0</v>
      </c>
      <c r="U257">
        <f t="shared" si="208"/>
        <v>2.6429999999999998</v>
      </c>
      <c r="V257">
        <f t="shared" si="209"/>
        <v>1.6919999999999999</v>
      </c>
      <c r="W257">
        <f t="shared" si="210"/>
        <v>0</v>
      </c>
      <c r="X257">
        <f t="shared" si="211"/>
        <v>1265.3800000000001</v>
      </c>
      <c r="Y257">
        <f t="shared" si="212"/>
        <v>843.58</v>
      </c>
      <c r="AA257">
        <v>94798619</v>
      </c>
      <c r="AB257">
        <f t="shared" si="213"/>
        <v>1564.71</v>
      </c>
      <c r="AC257">
        <f t="shared" si="214"/>
        <v>0</v>
      </c>
      <c r="AD257">
        <f t="shared" si="215"/>
        <v>1213.6300000000001</v>
      </c>
      <c r="AE257">
        <f t="shared" si="216"/>
        <v>291.87</v>
      </c>
      <c r="AF257">
        <f t="shared" si="217"/>
        <v>351.08</v>
      </c>
      <c r="AG257">
        <f t="shared" si="218"/>
        <v>0</v>
      </c>
      <c r="AH257">
        <f t="shared" si="219"/>
        <v>44.05</v>
      </c>
      <c r="AI257">
        <f t="shared" si="220"/>
        <v>28.2</v>
      </c>
      <c r="AJ257">
        <f t="shared" si="221"/>
        <v>0</v>
      </c>
      <c r="AK257">
        <v>1564.71</v>
      </c>
      <c r="AL257">
        <v>0</v>
      </c>
      <c r="AM257">
        <v>1213.6300000000001</v>
      </c>
      <c r="AN257">
        <v>291.87</v>
      </c>
      <c r="AO257">
        <v>351.08</v>
      </c>
      <c r="AP257">
        <v>0</v>
      </c>
      <c r="AQ257">
        <v>44.05</v>
      </c>
      <c r="AR257">
        <v>28.2</v>
      </c>
      <c r="AS257">
        <v>0</v>
      </c>
      <c r="AT257">
        <v>93</v>
      </c>
      <c r="AU257">
        <v>62</v>
      </c>
      <c r="AV257">
        <v>1</v>
      </c>
      <c r="AW257">
        <v>1</v>
      </c>
      <c r="AZ257">
        <v>1</v>
      </c>
      <c r="BA257">
        <v>35.270000000000003</v>
      </c>
      <c r="BB257">
        <v>12.92</v>
      </c>
      <c r="BC257">
        <v>1</v>
      </c>
      <c r="BD257" t="s">
        <v>3</v>
      </c>
      <c r="BE257" t="s">
        <v>3</v>
      </c>
      <c r="BF257" t="s">
        <v>3</v>
      </c>
      <c r="BG257" t="s">
        <v>3</v>
      </c>
      <c r="BH257">
        <v>0</v>
      </c>
      <c r="BI257">
        <v>1</v>
      </c>
      <c r="BJ257" t="s">
        <v>350</v>
      </c>
      <c r="BM257">
        <v>9001</v>
      </c>
      <c r="BN257">
        <v>0</v>
      </c>
      <c r="BO257" t="s">
        <v>348</v>
      </c>
      <c r="BP257">
        <v>1</v>
      </c>
      <c r="BQ257">
        <v>2</v>
      </c>
      <c r="BR257">
        <v>0</v>
      </c>
      <c r="BS257">
        <v>35.270000000000003</v>
      </c>
      <c r="BT257">
        <v>1</v>
      </c>
      <c r="BU257">
        <v>1</v>
      </c>
      <c r="BV257">
        <v>1</v>
      </c>
      <c r="BW257">
        <v>1</v>
      </c>
      <c r="BX257">
        <v>1</v>
      </c>
      <c r="BY257" t="s">
        <v>3</v>
      </c>
      <c r="BZ257">
        <v>93</v>
      </c>
      <c r="CA257">
        <v>62</v>
      </c>
      <c r="CB257" t="s">
        <v>3</v>
      </c>
      <c r="CE257">
        <v>0</v>
      </c>
      <c r="CF257">
        <v>0</v>
      </c>
      <c r="CG257">
        <v>0</v>
      </c>
      <c r="CM257">
        <v>0</v>
      </c>
      <c r="CN257" t="s">
        <v>3</v>
      </c>
      <c r="CO257">
        <v>0</v>
      </c>
      <c r="CP257">
        <f t="shared" si="222"/>
        <v>1683.77</v>
      </c>
      <c r="CQ257">
        <f t="shared" si="223"/>
        <v>0</v>
      </c>
      <c r="CR257">
        <f t="shared" si="224"/>
        <v>15680.099600000001</v>
      </c>
      <c r="CS257">
        <f t="shared" si="225"/>
        <v>10294.254900000002</v>
      </c>
      <c r="CT257">
        <f t="shared" si="226"/>
        <v>12382.5916</v>
      </c>
      <c r="CU257">
        <f t="shared" si="227"/>
        <v>0</v>
      </c>
      <c r="CV257">
        <f t="shared" si="228"/>
        <v>44.05</v>
      </c>
      <c r="CW257">
        <f t="shared" si="229"/>
        <v>28.2</v>
      </c>
      <c r="CX257">
        <f t="shared" si="230"/>
        <v>0</v>
      </c>
      <c r="CY257">
        <f>(((S257+R257)*AT257)/100)</f>
        <v>1265.3765999999998</v>
      </c>
      <c r="CZ257">
        <f>(((S257+R257)*AU257)/100)</f>
        <v>843.58439999999985</v>
      </c>
      <c r="DC257" t="s">
        <v>3</v>
      </c>
      <c r="DD257" t="s">
        <v>3</v>
      </c>
      <c r="DE257" t="s">
        <v>3</v>
      </c>
      <c r="DF257" t="s">
        <v>3</v>
      </c>
      <c r="DG257" t="s">
        <v>3</v>
      </c>
      <c r="DH257" t="s">
        <v>3</v>
      </c>
      <c r="DI257" t="s">
        <v>3</v>
      </c>
      <c r="DJ257" t="s">
        <v>3</v>
      </c>
      <c r="DK257" t="s">
        <v>3</v>
      </c>
      <c r="DL257" t="s">
        <v>3</v>
      </c>
      <c r="DM257" t="s">
        <v>3</v>
      </c>
      <c r="DN257">
        <v>0</v>
      </c>
      <c r="DO257">
        <v>0</v>
      </c>
      <c r="DP257">
        <v>1</v>
      </c>
      <c r="DQ257">
        <v>1</v>
      </c>
      <c r="DU257">
        <v>1013</v>
      </c>
      <c r="DV257" t="s">
        <v>36</v>
      </c>
      <c r="DW257" t="s">
        <v>36</v>
      </c>
      <c r="DX257">
        <v>1</v>
      </c>
      <c r="DZ257" t="s">
        <v>3</v>
      </c>
      <c r="EA257" t="s">
        <v>3</v>
      </c>
      <c r="EB257" t="s">
        <v>3</v>
      </c>
      <c r="EC257" t="s">
        <v>3</v>
      </c>
      <c r="EE257">
        <v>92109398</v>
      </c>
      <c r="EF257">
        <v>2</v>
      </c>
      <c r="EG257" t="s">
        <v>21</v>
      </c>
      <c r="EH257">
        <v>9</v>
      </c>
      <c r="EI257" t="s">
        <v>40</v>
      </c>
      <c r="EJ257">
        <v>1</v>
      </c>
      <c r="EK257">
        <v>9001</v>
      </c>
      <c r="EL257" t="s">
        <v>40</v>
      </c>
      <c r="EM257" t="s">
        <v>41</v>
      </c>
      <c r="EO257" t="s">
        <v>3</v>
      </c>
      <c r="EQ257">
        <v>0</v>
      </c>
      <c r="ER257">
        <v>1564.71</v>
      </c>
      <c r="ES257">
        <v>0</v>
      </c>
      <c r="ET257">
        <v>1213.6300000000001</v>
      </c>
      <c r="EU257">
        <v>291.87</v>
      </c>
      <c r="EV257">
        <v>351.08</v>
      </c>
      <c r="EW257">
        <v>44.05</v>
      </c>
      <c r="EX257">
        <v>28.2</v>
      </c>
      <c r="EY257">
        <v>0</v>
      </c>
      <c r="FQ257">
        <v>0</v>
      </c>
      <c r="FR257">
        <f t="shared" si="231"/>
        <v>0</v>
      </c>
      <c r="FS257">
        <v>0</v>
      </c>
      <c r="FX257">
        <v>93</v>
      </c>
      <c r="FY257">
        <v>62</v>
      </c>
      <c r="GA257" t="s">
        <v>3</v>
      </c>
      <c r="GD257">
        <v>1</v>
      </c>
      <c r="GF257">
        <v>-1063640268</v>
      </c>
      <c r="GG257">
        <v>2</v>
      </c>
      <c r="GH257">
        <v>1</v>
      </c>
      <c r="GI257">
        <v>2</v>
      </c>
      <c r="GJ257">
        <v>0</v>
      </c>
      <c r="GK257">
        <v>0</v>
      </c>
      <c r="GL257">
        <f t="shared" si="232"/>
        <v>0</v>
      </c>
      <c r="GM257">
        <f t="shared" si="233"/>
        <v>3792.73</v>
      </c>
      <c r="GN257">
        <f t="shared" si="234"/>
        <v>3792.73</v>
      </c>
      <c r="GO257">
        <f t="shared" si="235"/>
        <v>0</v>
      </c>
      <c r="GP257">
        <f t="shared" si="236"/>
        <v>0</v>
      </c>
      <c r="GR257">
        <v>0</v>
      </c>
      <c r="GS257">
        <v>3</v>
      </c>
      <c r="GT257">
        <v>0</v>
      </c>
      <c r="GU257" t="s">
        <v>3</v>
      </c>
      <c r="GV257">
        <f t="shared" si="237"/>
        <v>0</v>
      </c>
      <c r="GW257">
        <v>1</v>
      </c>
      <c r="GX257">
        <f t="shared" si="238"/>
        <v>0</v>
      </c>
      <c r="HA257">
        <v>0</v>
      </c>
      <c r="HB257">
        <v>0</v>
      </c>
      <c r="HC257">
        <f t="shared" si="239"/>
        <v>0</v>
      </c>
      <c r="HE257" t="s">
        <v>3</v>
      </c>
      <c r="HF257" t="s">
        <v>3</v>
      </c>
      <c r="HM257" t="s">
        <v>3</v>
      </c>
      <c r="HN257" t="s">
        <v>42</v>
      </c>
      <c r="HO257" t="s">
        <v>43</v>
      </c>
      <c r="HP257" t="s">
        <v>40</v>
      </c>
      <c r="HQ257" t="s">
        <v>40</v>
      </c>
      <c r="IK257">
        <v>0</v>
      </c>
    </row>
    <row r="258" spans="1:245" x14ac:dyDescent="0.2">
      <c r="A258">
        <v>18</v>
      </c>
      <c r="B258">
        <v>1</v>
      </c>
      <c r="C258">
        <v>168</v>
      </c>
      <c r="E258" t="s">
        <v>351</v>
      </c>
      <c r="F258" t="s">
        <v>352</v>
      </c>
      <c r="G258" t="s">
        <v>353</v>
      </c>
      <c r="H258" t="s">
        <v>170</v>
      </c>
      <c r="I258">
        <f>I257*J258</f>
        <v>1.8E-3</v>
      </c>
      <c r="J258">
        <v>0.03</v>
      </c>
      <c r="K258">
        <v>0.03</v>
      </c>
      <c r="O258">
        <f t="shared" si="202"/>
        <v>0</v>
      </c>
      <c r="P258">
        <f t="shared" si="203"/>
        <v>0</v>
      </c>
      <c r="Q258">
        <f t="shared" si="204"/>
        <v>0</v>
      </c>
      <c r="R258">
        <f t="shared" si="205"/>
        <v>0</v>
      </c>
      <c r="S258">
        <f t="shared" si="206"/>
        <v>0</v>
      </c>
      <c r="T258">
        <f t="shared" si="207"/>
        <v>0</v>
      </c>
      <c r="U258">
        <f t="shared" si="208"/>
        <v>0</v>
      </c>
      <c r="V258">
        <f t="shared" si="209"/>
        <v>0</v>
      </c>
      <c r="W258">
        <f t="shared" si="210"/>
        <v>0</v>
      </c>
      <c r="X258">
        <f t="shared" si="211"/>
        <v>0</v>
      </c>
      <c r="Y258">
        <f t="shared" si="212"/>
        <v>0</v>
      </c>
      <c r="AA258">
        <v>94798619</v>
      </c>
      <c r="AB258">
        <f t="shared" si="213"/>
        <v>0</v>
      </c>
      <c r="AC258">
        <f t="shared" si="214"/>
        <v>0</v>
      </c>
      <c r="AD258">
        <f t="shared" si="215"/>
        <v>0</v>
      </c>
      <c r="AE258">
        <f t="shared" si="216"/>
        <v>0</v>
      </c>
      <c r="AF258">
        <f t="shared" si="217"/>
        <v>0</v>
      </c>
      <c r="AG258">
        <f t="shared" si="218"/>
        <v>0</v>
      </c>
      <c r="AH258">
        <f t="shared" si="219"/>
        <v>0</v>
      </c>
      <c r="AI258">
        <f t="shared" si="220"/>
        <v>0</v>
      </c>
      <c r="AJ258">
        <f t="shared" si="221"/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93</v>
      </c>
      <c r="AU258">
        <v>62</v>
      </c>
      <c r="AV258">
        <v>1</v>
      </c>
      <c r="AW258">
        <v>1</v>
      </c>
      <c r="AZ258">
        <v>1</v>
      </c>
      <c r="BA258">
        <v>1</v>
      </c>
      <c r="BB258">
        <v>1</v>
      </c>
      <c r="BC258">
        <v>1</v>
      </c>
      <c r="BD258" t="s">
        <v>3</v>
      </c>
      <c r="BE258" t="s">
        <v>3</v>
      </c>
      <c r="BF258" t="s">
        <v>3</v>
      </c>
      <c r="BG258" t="s">
        <v>3</v>
      </c>
      <c r="BH258">
        <v>3</v>
      </c>
      <c r="BI258">
        <v>1</v>
      </c>
      <c r="BJ258" t="s">
        <v>354</v>
      </c>
      <c r="BM258">
        <v>9001</v>
      </c>
      <c r="BN258">
        <v>0</v>
      </c>
      <c r="BO258" t="s">
        <v>3</v>
      </c>
      <c r="BP258">
        <v>0</v>
      </c>
      <c r="BQ258">
        <v>2</v>
      </c>
      <c r="BR258">
        <v>0</v>
      </c>
      <c r="BS258">
        <v>1</v>
      </c>
      <c r="BT258">
        <v>1</v>
      </c>
      <c r="BU258">
        <v>1</v>
      </c>
      <c r="BV258">
        <v>1</v>
      </c>
      <c r="BW258">
        <v>1</v>
      </c>
      <c r="BX258">
        <v>1</v>
      </c>
      <c r="BY258" t="s">
        <v>3</v>
      </c>
      <c r="BZ258">
        <v>93</v>
      </c>
      <c r="CA258">
        <v>62</v>
      </c>
      <c r="CB258" t="s">
        <v>3</v>
      </c>
      <c r="CE258">
        <v>0</v>
      </c>
      <c r="CF258">
        <v>0</v>
      </c>
      <c r="CG258">
        <v>0</v>
      </c>
      <c r="CM258">
        <v>0</v>
      </c>
      <c r="CN258" t="s">
        <v>3</v>
      </c>
      <c r="CO258">
        <v>0</v>
      </c>
      <c r="CP258">
        <f t="shared" si="222"/>
        <v>0</v>
      </c>
      <c r="CQ258">
        <f t="shared" si="223"/>
        <v>0</v>
      </c>
      <c r="CR258">
        <f t="shared" si="224"/>
        <v>0</v>
      </c>
      <c r="CS258">
        <f t="shared" si="225"/>
        <v>0</v>
      </c>
      <c r="CT258">
        <f t="shared" si="226"/>
        <v>0</v>
      </c>
      <c r="CU258">
        <f t="shared" si="227"/>
        <v>0</v>
      </c>
      <c r="CV258">
        <f t="shared" si="228"/>
        <v>0</v>
      </c>
      <c r="CW258">
        <f t="shared" si="229"/>
        <v>0</v>
      </c>
      <c r="CX258">
        <f t="shared" si="230"/>
        <v>0</v>
      </c>
      <c r="CY258">
        <f>(((S258+R258)*AT258)/100)</f>
        <v>0</v>
      </c>
      <c r="CZ258">
        <f>(((S258+R258)*AU258)/100)</f>
        <v>0</v>
      </c>
      <c r="DC258" t="s">
        <v>3</v>
      </c>
      <c r="DD258" t="s">
        <v>3</v>
      </c>
      <c r="DE258" t="s">
        <v>3</v>
      </c>
      <c r="DF258" t="s">
        <v>3</v>
      </c>
      <c r="DG258" t="s">
        <v>3</v>
      </c>
      <c r="DH258" t="s">
        <v>3</v>
      </c>
      <c r="DI258" t="s">
        <v>3</v>
      </c>
      <c r="DJ258" t="s">
        <v>3</v>
      </c>
      <c r="DK258" t="s">
        <v>3</v>
      </c>
      <c r="DL258" t="s">
        <v>3</v>
      </c>
      <c r="DM258" t="s">
        <v>3</v>
      </c>
      <c r="DN258">
        <v>0</v>
      </c>
      <c r="DO258">
        <v>0</v>
      </c>
      <c r="DP258">
        <v>1</v>
      </c>
      <c r="DQ258">
        <v>1</v>
      </c>
      <c r="DU258">
        <v>1009</v>
      </c>
      <c r="DV258" t="s">
        <v>170</v>
      </c>
      <c r="DW258" t="s">
        <v>170</v>
      </c>
      <c r="DX258">
        <v>1000</v>
      </c>
      <c r="DZ258" t="s">
        <v>3</v>
      </c>
      <c r="EA258" t="s">
        <v>3</v>
      </c>
      <c r="EB258" t="s">
        <v>3</v>
      </c>
      <c r="EC258" t="s">
        <v>3</v>
      </c>
      <c r="EE258">
        <v>92109398</v>
      </c>
      <c r="EF258">
        <v>2</v>
      </c>
      <c r="EG258" t="s">
        <v>21</v>
      </c>
      <c r="EH258">
        <v>9</v>
      </c>
      <c r="EI258" t="s">
        <v>40</v>
      </c>
      <c r="EJ258">
        <v>1</v>
      </c>
      <c r="EK258">
        <v>9001</v>
      </c>
      <c r="EL258" t="s">
        <v>40</v>
      </c>
      <c r="EM258" t="s">
        <v>41</v>
      </c>
      <c r="EO258" t="s">
        <v>3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FQ258">
        <v>0</v>
      </c>
      <c r="FR258">
        <f t="shared" si="231"/>
        <v>0</v>
      </c>
      <c r="FS258">
        <v>0</v>
      </c>
      <c r="FX258">
        <v>93</v>
      </c>
      <c r="FY258">
        <v>62</v>
      </c>
      <c r="GA258" t="s">
        <v>3</v>
      </c>
      <c r="GD258">
        <v>1</v>
      </c>
      <c r="GF258">
        <v>173026520</v>
      </c>
      <c r="GG258">
        <v>2</v>
      </c>
      <c r="GH258">
        <v>1</v>
      </c>
      <c r="GI258">
        <v>-2</v>
      </c>
      <c r="GJ258">
        <v>0</v>
      </c>
      <c r="GK258">
        <v>0</v>
      </c>
      <c r="GL258">
        <f t="shared" si="232"/>
        <v>0</v>
      </c>
      <c r="GM258">
        <f t="shared" si="233"/>
        <v>0</v>
      </c>
      <c r="GN258">
        <f t="shared" si="234"/>
        <v>0</v>
      </c>
      <c r="GO258">
        <f t="shared" si="235"/>
        <v>0</v>
      </c>
      <c r="GP258">
        <f t="shared" si="236"/>
        <v>0</v>
      </c>
      <c r="GR258">
        <v>0</v>
      </c>
      <c r="GS258">
        <v>3</v>
      </c>
      <c r="GT258">
        <v>0</v>
      </c>
      <c r="GU258" t="s">
        <v>3</v>
      </c>
      <c r="GV258">
        <f t="shared" si="237"/>
        <v>0</v>
      </c>
      <c r="GW258">
        <v>1</v>
      </c>
      <c r="GX258">
        <f t="shared" si="238"/>
        <v>0</v>
      </c>
      <c r="HA258">
        <v>0</v>
      </c>
      <c r="HB258">
        <v>0</v>
      </c>
      <c r="HC258">
        <f t="shared" si="239"/>
        <v>0</v>
      </c>
      <c r="HE258" t="s">
        <v>3</v>
      </c>
      <c r="HF258" t="s">
        <v>3</v>
      </c>
      <c r="HM258" t="s">
        <v>3</v>
      </c>
      <c r="HN258" t="s">
        <v>42</v>
      </c>
      <c r="HO258" t="s">
        <v>43</v>
      </c>
      <c r="HP258" t="s">
        <v>40</v>
      </c>
      <c r="HQ258" t="s">
        <v>40</v>
      </c>
      <c r="IK258">
        <v>0</v>
      </c>
    </row>
    <row r="259" spans="1:245" x14ac:dyDescent="0.2">
      <c r="A259">
        <v>18</v>
      </c>
      <c r="B259">
        <v>1</v>
      </c>
      <c r="C259">
        <v>169</v>
      </c>
      <c r="E259" t="s">
        <v>355</v>
      </c>
      <c r="F259" t="s">
        <v>45</v>
      </c>
      <c r="G259" t="s">
        <v>46</v>
      </c>
      <c r="H259" t="s">
        <v>47</v>
      </c>
      <c r="I259">
        <f>I257*J259</f>
        <v>6</v>
      </c>
      <c r="J259">
        <v>100</v>
      </c>
      <c r="K259">
        <v>100</v>
      </c>
      <c r="O259">
        <f t="shared" si="202"/>
        <v>0</v>
      </c>
      <c r="P259">
        <f t="shared" si="203"/>
        <v>0</v>
      </c>
      <c r="Q259">
        <f t="shared" si="204"/>
        <v>0</v>
      </c>
      <c r="R259">
        <f t="shared" si="205"/>
        <v>0</v>
      </c>
      <c r="S259">
        <f t="shared" si="206"/>
        <v>0</v>
      </c>
      <c r="T259">
        <f t="shared" si="207"/>
        <v>0</v>
      </c>
      <c r="U259">
        <f t="shared" si="208"/>
        <v>0</v>
      </c>
      <c r="V259">
        <f t="shared" si="209"/>
        <v>0</v>
      </c>
      <c r="W259">
        <f t="shared" si="210"/>
        <v>0</v>
      </c>
      <c r="X259">
        <f t="shared" si="211"/>
        <v>0</v>
      </c>
      <c r="Y259">
        <f t="shared" si="212"/>
        <v>0</v>
      </c>
      <c r="AA259">
        <v>94798619</v>
      </c>
      <c r="AB259">
        <f t="shared" si="213"/>
        <v>0</v>
      </c>
      <c r="AC259">
        <f t="shared" si="214"/>
        <v>0</v>
      </c>
      <c r="AD259">
        <f t="shared" si="215"/>
        <v>0</v>
      </c>
      <c r="AE259">
        <f t="shared" si="216"/>
        <v>0</v>
      </c>
      <c r="AF259">
        <f t="shared" si="217"/>
        <v>0</v>
      </c>
      <c r="AG259">
        <f t="shared" si="218"/>
        <v>0</v>
      </c>
      <c r="AH259">
        <f t="shared" si="219"/>
        <v>0</v>
      </c>
      <c r="AI259">
        <f t="shared" si="220"/>
        <v>0</v>
      </c>
      <c r="AJ259">
        <f t="shared" si="221"/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93</v>
      </c>
      <c r="AU259">
        <v>62</v>
      </c>
      <c r="AV259">
        <v>1</v>
      </c>
      <c r="AW259">
        <v>1</v>
      </c>
      <c r="AZ259">
        <v>1</v>
      </c>
      <c r="BA259">
        <v>1</v>
      </c>
      <c r="BB259">
        <v>1</v>
      </c>
      <c r="BC259">
        <v>1</v>
      </c>
      <c r="BD259" t="s">
        <v>3</v>
      </c>
      <c r="BE259" t="s">
        <v>3</v>
      </c>
      <c r="BF259" t="s">
        <v>3</v>
      </c>
      <c r="BG259" t="s">
        <v>3</v>
      </c>
      <c r="BH259">
        <v>3</v>
      </c>
      <c r="BI259">
        <v>1</v>
      </c>
      <c r="BJ259" t="s">
        <v>48</v>
      </c>
      <c r="BM259">
        <v>9001</v>
      </c>
      <c r="BN259">
        <v>0</v>
      </c>
      <c r="BO259" t="s">
        <v>3</v>
      </c>
      <c r="BP259">
        <v>0</v>
      </c>
      <c r="BQ259">
        <v>2</v>
      </c>
      <c r="BR259">
        <v>0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 t="s">
        <v>3</v>
      </c>
      <c r="BZ259">
        <v>93</v>
      </c>
      <c r="CA259">
        <v>62</v>
      </c>
      <c r="CB259" t="s">
        <v>3</v>
      </c>
      <c r="CE259">
        <v>0</v>
      </c>
      <c r="CF259">
        <v>0</v>
      </c>
      <c r="CG259">
        <v>0</v>
      </c>
      <c r="CM259">
        <v>0</v>
      </c>
      <c r="CN259" t="s">
        <v>3</v>
      </c>
      <c r="CO259">
        <v>0</v>
      </c>
      <c r="CP259">
        <f t="shared" si="222"/>
        <v>0</v>
      </c>
      <c r="CQ259">
        <f t="shared" si="223"/>
        <v>0</v>
      </c>
      <c r="CR259">
        <f t="shared" si="224"/>
        <v>0</v>
      </c>
      <c r="CS259">
        <f t="shared" si="225"/>
        <v>0</v>
      </c>
      <c r="CT259">
        <f t="shared" si="226"/>
        <v>0</v>
      </c>
      <c r="CU259">
        <f t="shared" si="227"/>
        <v>0</v>
      </c>
      <c r="CV259">
        <f t="shared" si="228"/>
        <v>0</v>
      </c>
      <c r="CW259">
        <f t="shared" si="229"/>
        <v>0</v>
      </c>
      <c r="CX259">
        <f t="shared" si="230"/>
        <v>0</v>
      </c>
      <c r="CY259">
        <f>(((S259+R259)*AT259)/100)</f>
        <v>0</v>
      </c>
      <c r="CZ259">
        <f>(((S259+R259)*AU259)/100)</f>
        <v>0</v>
      </c>
      <c r="DC259" t="s">
        <v>3</v>
      </c>
      <c r="DD259" t="s">
        <v>3</v>
      </c>
      <c r="DE259" t="s">
        <v>3</v>
      </c>
      <c r="DF259" t="s">
        <v>3</v>
      </c>
      <c r="DG259" t="s">
        <v>3</v>
      </c>
      <c r="DH259" t="s">
        <v>3</v>
      </c>
      <c r="DI259" t="s">
        <v>3</v>
      </c>
      <c r="DJ259" t="s">
        <v>3</v>
      </c>
      <c r="DK259" t="s">
        <v>3</v>
      </c>
      <c r="DL259" t="s">
        <v>3</v>
      </c>
      <c r="DM259" t="s">
        <v>3</v>
      </c>
      <c r="DN259">
        <v>0</v>
      </c>
      <c r="DO259">
        <v>0</v>
      </c>
      <c r="DP259">
        <v>1</v>
      </c>
      <c r="DQ259">
        <v>1</v>
      </c>
      <c r="DU259">
        <v>1010</v>
      </c>
      <c r="DV259" t="s">
        <v>47</v>
      </c>
      <c r="DW259" t="s">
        <v>47</v>
      </c>
      <c r="DX259">
        <v>1</v>
      </c>
      <c r="DZ259" t="s">
        <v>3</v>
      </c>
      <c r="EA259" t="s">
        <v>3</v>
      </c>
      <c r="EB259" t="s">
        <v>3</v>
      </c>
      <c r="EC259" t="s">
        <v>3</v>
      </c>
      <c r="EE259">
        <v>92109398</v>
      </c>
      <c r="EF259">
        <v>2</v>
      </c>
      <c r="EG259" t="s">
        <v>21</v>
      </c>
      <c r="EH259">
        <v>9</v>
      </c>
      <c r="EI259" t="s">
        <v>40</v>
      </c>
      <c r="EJ259">
        <v>1</v>
      </c>
      <c r="EK259">
        <v>9001</v>
      </c>
      <c r="EL259" t="s">
        <v>40</v>
      </c>
      <c r="EM259" t="s">
        <v>41</v>
      </c>
      <c r="EO259" t="s">
        <v>3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FQ259">
        <v>0</v>
      </c>
      <c r="FR259">
        <f t="shared" si="231"/>
        <v>0</v>
      </c>
      <c r="FS259">
        <v>0</v>
      </c>
      <c r="FX259">
        <v>93</v>
      </c>
      <c r="FY259">
        <v>62</v>
      </c>
      <c r="GA259" t="s">
        <v>3</v>
      </c>
      <c r="GD259">
        <v>1</v>
      </c>
      <c r="GF259">
        <v>-138700279</v>
      </c>
      <c r="GG259">
        <v>2</v>
      </c>
      <c r="GH259">
        <v>1</v>
      </c>
      <c r="GI259">
        <v>-2</v>
      </c>
      <c r="GJ259">
        <v>0</v>
      </c>
      <c r="GK259">
        <v>0</v>
      </c>
      <c r="GL259">
        <f t="shared" si="232"/>
        <v>0</v>
      </c>
      <c r="GM259">
        <f t="shared" si="233"/>
        <v>0</v>
      </c>
      <c r="GN259">
        <f t="shared" si="234"/>
        <v>0</v>
      </c>
      <c r="GO259">
        <f t="shared" si="235"/>
        <v>0</v>
      </c>
      <c r="GP259">
        <f t="shared" si="236"/>
        <v>0</v>
      </c>
      <c r="GR259">
        <v>0</v>
      </c>
      <c r="GS259">
        <v>3</v>
      </c>
      <c r="GT259">
        <v>0</v>
      </c>
      <c r="GU259" t="s">
        <v>3</v>
      </c>
      <c r="GV259">
        <f t="shared" si="237"/>
        <v>0</v>
      </c>
      <c r="GW259">
        <v>1</v>
      </c>
      <c r="GX259">
        <f t="shared" si="238"/>
        <v>0</v>
      </c>
      <c r="HA259">
        <v>0</v>
      </c>
      <c r="HB259">
        <v>0</v>
      </c>
      <c r="HC259">
        <f t="shared" si="239"/>
        <v>0</v>
      </c>
      <c r="HE259" t="s">
        <v>3</v>
      </c>
      <c r="HF259" t="s">
        <v>3</v>
      </c>
      <c r="HM259" t="s">
        <v>3</v>
      </c>
      <c r="HN259" t="s">
        <v>42</v>
      </c>
      <c r="HO259" t="s">
        <v>43</v>
      </c>
      <c r="HP259" t="s">
        <v>40</v>
      </c>
      <c r="HQ259" t="s">
        <v>40</v>
      </c>
      <c r="IK259">
        <v>0</v>
      </c>
    </row>
    <row r="260" spans="1:245" x14ac:dyDescent="0.2">
      <c r="A260">
        <v>17</v>
      </c>
      <c r="B260">
        <v>1</v>
      </c>
      <c r="E260" t="s">
        <v>356</v>
      </c>
      <c r="F260" t="s">
        <v>357</v>
      </c>
      <c r="G260" t="s">
        <v>358</v>
      </c>
      <c r="H260" t="s">
        <v>170</v>
      </c>
      <c r="I260">
        <v>5.67E-2</v>
      </c>
      <c r="J260">
        <v>0</v>
      </c>
      <c r="K260">
        <v>5.67E-2</v>
      </c>
      <c r="O260">
        <f t="shared" si="202"/>
        <v>3763.37</v>
      </c>
      <c r="P260">
        <f t="shared" si="203"/>
        <v>3763.37</v>
      </c>
      <c r="Q260">
        <f t="shared" si="204"/>
        <v>0</v>
      </c>
      <c r="R260">
        <f t="shared" si="205"/>
        <v>0</v>
      </c>
      <c r="S260">
        <f t="shared" si="206"/>
        <v>0</v>
      </c>
      <c r="T260">
        <f t="shared" si="207"/>
        <v>0</v>
      </c>
      <c r="U260">
        <f t="shared" si="208"/>
        <v>0</v>
      </c>
      <c r="V260">
        <f t="shared" si="209"/>
        <v>0</v>
      </c>
      <c r="W260">
        <f t="shared" si="210"/>
        <v>0</v>
      </c>
      <c r="X260">
        <f t="shared" si="211"/>
        <v>0</v>
      </c>
      <c r="Y260">
        <f t="shared" si="212"/>
        <v>0</v>
      </c>
      <c r="AA260">
        <v>94798619</v>
      </c>
      <c r="AB260">
        <f t="shared" si="213"/>
        <v>6232.24</v>
      </c>
      <c r="AC260">
        <f t="shared" si="214"/>
        <v>6232.24</v>
      </c>
      <c r="AD260">
        <f t="shared" si="215"/>
        <v>0</v>
      </c>
      <c r="AE260">
        <f t="shared" si="216"/>
        <v>0</v>
      </c>
      <c r="AF260">
        <f t="shared" si="217"/>
        <v>0</v>
      </c>
      <c r="AG260">
        <f t="shared" si="218"/>
        <v>0</v>
      </c>
      <c r="AH260">
        <f t="shared" si="219"/>
        <v>0</v>
      </c>
      <c r="AI260">
        <f t="shared" si="220"/>
        <v>0</v>
      </c>
      <c r="AJ260">
        <f t="shared" si="221"/>
        <v>0</v>
      </c>
      <c r="AK260">
        <v>6232.24</v>
      </c>
      <c r="AL260">
        <v>6232.24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1</v>
      </c>
      <c r="AW260">
        <v>1</v>
      </c>
      <c r="AZ260">
        <v>1</v>
      </c>
      <c r="BA260">
        <v>1</v>
      </c>
      <c r="BB260">
        <v>1</v>
      </c>
      <c r="BC260">
        <v>10.65</v>
      </c>
      <c r="BD260" t="s">
        <v>3</v>
      </c>
      <c r="BE260" t="s">
        <v>3</v>
      </c>
      <c r="BF260" t="s">
        <v>3</v>
      </c>
      <c r="BG260" t="s">
        <v>3</v>
      </c>
      <c r="BH260">
        <v>3</v>
      </c>
      <c r="BI260">
        <v>1</v>
      </c>
      <c r="BJ260" t="s">
        <v>359</v>
      </c>
      <c r="BM260">
        <v>500001</v>
      </c>
      <c r="BN260">
        <v>0</v>
      </c>
      <c r="BO260" t="s">
        <v>357</v>
      </c>
      <c r="BP260">
        <v>1</v>
      </c>
      <c r="BQ260">
        <v>8</v>
      </c>
      <c r="BR260">
        <v>0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1</v>
      </c>
      <c r="BY260" t="s">
        <v>3</v>
      </c>
      <c r="BZ260">
        <v>0</v>
      </c>
      <c r="CA260">
        <v>0</v>
      </c>
      <c r="CB260" t="s">
        <v>3</v>
      </c>
      <c r="CE260">
        <v>0</v>
      </c>
      <c r="CF260">
        <v>0</v>
      </c>
      <c r="CG260">
        <v>0</v>
      </c>
      <c r="CM260">
        <v>0</v>
      </c>
      <c r="CN260" t="s">
        <v>3</v>
      </c>
      <c r="CO260">
        <v>0</v>
      </c>
      <c r="CP260">
        <f t="shared" si="222"/>
        <v>3763.37</v>
      </c>
      <c r="CQ260">
        <f t="shared" si="223"/>
        <v>66373.356</v>
      </c>
      <c r="CR260">
        <f t="shared" si="224"/>
        <v>0</v>
      </c>
      <c r="CS260">
        <f t="shared" si="225"/>
        <v>0</v>
      </c>
      <c r="CT260">
        <f t="shared" si="226"/>
        <v>0</v>
      </c>
      <c r="CU260">
        <f t="shared" si="227"/>
        <v>0</v>
      </c>
      <c r="CV260">
        <f t="shared" si="228"/>
        <v>0</v>
      </c>
      <c r="CW260">
        <f t="shared" si="229"/>
        <v>0</v>
      </c>
      <c r="CX260">
        <f t="shared" si="230"/>
        <v>0</v>
      </c>
      <c r="CY260">
        <f>0</f>
        <v>0</v>
      </c>
      <c r="CZ260">
        <f>0</f>
        <v>0</v>
      </c>
      <c r="DC260" t="s">
        <v>3</v>
      </c>
      <c r="DD260" t="s">
        <v>3</v>
      </c>
      <c r="DE260" t="s">
        <v>3</v>
      </c>
      <c r="DF260" t="s">
        <v>3</v>
      </c>
      <c r="DG260" t="s">
        <v>3</v>
      </c>
      <c r="DH260" t="s">
        <v>3</v>
      </c>
      <c r="DI260" t="s">
        <v>3</v>
      </c>
      <c r="DJ260" t="s">
        <v>3</v>
      </c>
      <c r="DK260" t="s">
        <v>3</v>
      </c>
      <c r="DL260" t="s">
        <v>3</v>
      </c>
      <c r="DM260" t="s">
        <v>3</v>
      </c>
      <c r="DN260">
        <v>0</v>
      </c>
      <c r="DO260">
        <v>0</v>
      </c>
      <c r="DP260">
        <v>1</v>
      </c>
      <c r="DQ260">
        <v>1</v>
      </c>
      <c r="DU260">
        <v>1009</v>
      </c>
      <c r="DV260" t="s">
        <v>170</v>
      </c>
      <c r="DW260" t="s">
        <v>170</v>
      </c>
      <c r="DX260">
        <v>1000</v>
      </c>
      <c r="DZ260" t="s">
        <v>3</v>
      </c>
      <c r="EA260" t="s">
        <v>3</v>
      </c>
      <c r="EB260" t="s">
        <v>3</v>
      </c>
      <c r="EC260" t="s">
        <v>3</v>
      </c>
      <c r="EE260">
        <v>92109332</v>
      </c>
      <c r="EF260">
        <v>8</v>
      </c>
      <c r="EG260" t="s">
        <v>154</v>
      </c>
      <c r="EH260">
        <v>0</v>
      </c>
      <c r="EI260" t="s">
        <v>3</v>
      </c>
      <c r="EJ260">
        <v>1</v>
      </c>
      <c r="EK260">
        <v>500001</v>
      </c>
      <c r="EL260" t="s">
        <v>155</v>
      </c>
      <c r="EM260" t="s">
        <v>156</v>
      </c>
      <c r="EO260" t="s">
        <v>3</v>
      </c>
      <c r="EQ260">
        <v>0</v>
      </c>
      <c r="ER260">
        <v>6232.24</v>
      </c>
      <c r="ES260">
        <v>6232.24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FQ260">
        <v>0</v>
      </c>
      <c r="FR260">
        <f t="shared" si="231"/>
        <v>0</v>
      </c>
      <c r="FS260">
        <v>0</v>
      </c>
      <c r="FX260">
        <v>0</v>
      </c>
      <c r="FY260">
        <v>0</v>
      </c>
      <c r="GA260" t="s">
        <v>3</v>
      </c>
      <c r="GD260">
        <v>1</v>
      </c>
      <c r="GF260">
        <v>1851504459</v>
      </c>
      <c r="GG260">
        <v>2</v>
      </c>
      <c r="GH260">
        <v>1</v>
      </c>
      <c r="GI260">
        <v>2</v>
      </c>
      <c r="GJ260">
        <v>0</v>
      </c>
      <c r="GK260">
        <v>0</v>
      </c>
      <c r="GL260">
        <f t="shared" si="232"/>
        <v>0</v>
      </c>
      <c r="GM260">
        <f t="shared" si="233"/>
        <v>3763.37</v>
      </c>
      <c r="GN260">
        <f t="shared" si="234"/>
        <v>3763.37</v>
      </c>
      <c r="GO260">
        <f t="shared" si="235"/>
        <v>0</v>
      </c>
      <c r="GP260">
        <f t="shared" si="236"/>
        <v>0</v>
      </c>
      <c r="GR260">
        <v>0</v>
      </c>
      <c r="GS260">
        <v>3</v>
      </c>
      <c r="GT260">
        <v>0</v>
      </c>
      <c r="GU260" t="s">
        <v>3</v>
      </c>
      <c r="GV260">
        <f t="shared" si="237"/>
        <v>0</v>
      </c>
      <c r="GW260">
        <v>1</v>
      </c>
      <c r="GX260">
        <f t="shared" si="238"/>
        <v>0</v>
      </c>
      <c r="HA260">
        <v>0</v>
      </c>
      <c r="HB260">
        <v>0</v>
      </c>
      <c r="HC260">
        <f t="shared" si="239"/>
        <v>0</v>
      </c>
      <c r="HE260" t="s">
        <v>3</v>
      </c>
      <c r="HF260" t="s">
        <v>3</v>
      </c>
      <c r="HM260" t="s">
        <v>3</v>
      </c>
      <c r="HN260" t="s">
        <v>3</v>
      </c>
      <c r="HO260" t="s">
        <v>3</v>
      </c>
      <c r="HP260" t="s">
        <v>3</v>
      </c>
      <c r="HQ260" t="s">
        <v>3</v>
      </c>
      <c r="IK260">
        <v>0</v>
      </c>
    </row>
    <row r="261" spans="1:245" x14ac:dyDescent="0.2">
      <c r="A261">
        <v>17</v>
      </c>
      <c r="B261">
        <v>1</v>
      </c>
      <c r="C261">
        <f>ROW(SmtRes!A191)</f>
        <v>191</v>
      </c>
      <c r="D261">
        <f>ROW(EtalonRes!A191)</f>
        <v>191</v>
      </c>
      <c r="E261" t="s">
        <v>360</v>
      </c>
      <c r="F261" t="s">
        <v>361</v>
      </c>
      <c r="G261" t="s">
        <v>362</v>
      </c>
      <c r="H261" t="s">
        <v>220</v>
      </c>
      <c r="I261">
        <v>5.0999999999999997E-2</v>
      </c>
      <c r="J261">
        <v>0</v>
      </c>
      <c r="K261">
        <v>5.0999999999999997E-2</v>
      </c>
      <c r="O261">
        <f t="shared" si="202"/>
        <v>1605.06</v>
      </c>
      <c r="P261">
        <f t="shared" si="203"/>
        <v>249</v>
      </c>
      <c r="Q261">
        <f t="shared" si="204"/>
        <v>426.1</v>
      </c>
      <c r="R261">
        <f t="shared" si="205"/>
        <v>83.41</v>
      </c>
      <c r="S261">
        <f t="shared" si="206"/>
        <v>929.96</v>
      </c>
      <c r="T261">
        <f t="shared" si="207"/>
        <v>0</v>
      </c>
      <c r="U261">
        <f t="shared" si="208"/>
        <v>3.2272799999999999</v>
      </c>
      <c r="V261">
        <f t="shared" si="209"/>
        <v>0.19481999999999999</v>
      </c>
      <c r="W261">
        <f t="shared" si="210"/>
        <v>0</v>
      </c>
      <c r="X261">
        <f t="shared" si="211"/>
        <v>942.43</v>
      </c>
      <c r="Y261">
        <f t="shared" si="212"/>
        <v>628.29</v>
      </c>
      <c r="AA261">
        <v>94798619</v>
      </c>
      <c r="AB261">
        <f t="shared" si="213"/>
        <v>1313.7</v>
      </c>
      <c r="AC261">
        <f t="shared" si="214"/>
        <v>232.94</v>
      </c>
      <c r="AD261">
        <f t="shared" si="215"/>
        <v>563.76</v>
      </c>
      <c r="AE261">
        <f t="shared" si="216"/>
        <v>46.37</v>
      </c>
      <c r="AF261">
        <f t="shared" si="217"/>
        <v>517</v>
      </c>
      <c r="AG261">
        <f t="shared" si="218"/>
        <v>0</v>
      </c>
      <c r="AH261">
        <f t="shared" si="219"/>
        <v>63.28</v>
      </c>
      <c r="AI261">
        <f t="shared" si="220"/>
        <v>3.82</v>
      </c>
      <c r="AJ261">
        <f t="shared" si="221"/>
        <v>0</v>
      </c>
      <c r="AK261">
        <v>1313.7</v>
      </c>
      <c r="AL261">
        <v>232.94</v>
      </c>
      <c r="AM261">
        <v>563.76</v>
      </c>
      <c r="AN261">
        <v>46.37</v>
      </c>
      <c r="AO261">
        <v>517</v>
      </c>
      <c r="AP261">
        <v>0</v>
      </c>
      <c r="AQ261">
        <v>63.28</v>
      </c>
      <c r="AR261">
        <v>3.82</v>
      </c>
      <c r="AS261">
        <v>0</v>
      </c>
      <c r="AT261">
        <v>93</v>
      </c>
      <c r="AU261">
        <v>62</v>
      </c>
      <c r="AV261">
        <v>1</v>
      </c>
      <c r="AW261">
        <v>1</v>
      </c>
      <c r="AZ261">
        <v>1</v>
      </c>
      <c r="BA261">
        <v>35.270000000000003</v>
      </c>
      <c r="BB261">
        <v>14.82</v>
      </c>
      <c r="BC261">
        <v>20.96</v>
      </c>
      <c r="BD261" t="s">
        <v>3</v>
      </c>
      <c r="BE261" t="s">
        <v>3</v>
      </c>
      <c r="BF261" t="s">
        <v>3</v>
      </c>
      <c r="BG261" t="s">
        <v>3</v>
      </c>
      <c r="BH261">
        <v>0</v>
      </c>
      <c r="BI261">
        <v>1</v>
      </c>
      <c r="BJ261" t="s">
        <v>363</v>
      </c>
      <c r="BM261">
        <v>9001</v>
      </c>
      <c r="BN261">
        <v>0</v>
      </c>
      <c r="BO261" t="s">
        <v>361</v>
      </c>
      <c r="BP261">
        <v>1</v>
      </c>
      <c r="BQ261">
        <v>2</v>
      </c>
      <c r="BR261">
        <v>0</v>
      </c>
      <c r="BS261">
        <v>35.270000000000003</v>
      </c>
      <c r="BT261">
        <v>1</v>
      </c>
      <c r="BU261">
        <v>1</v>
      </c>
      <c r="BV261">
        <v>1</v>
      </c>
      <c r="BW261">
        <v>1</v>
      </c>
      <c r="BX261">
        <v>1</v>
      </c>
      <c r="BY261" t="s">
        <v>3</v>
      </c>
      <c r="BZ261">
        <v>93</v>
      </c>
      <c r="CA261">
        <v>62</v>
      </c>
      <c r="CB261" t="s">
        <v>3</v>
      </c>
      <c r="CE261">
        <v>0</v>
      </c>
      <c r="CF261">
        <v>0</v>
      </c>
      <c r="CG261">
        <v>0</v>
      </c>
      <c r="CM261">
        <v>0</v>
      </c>
      <c r="CN261" t="s">
        <v>3</v>
      </c>
      <c r="CO261">
        <v>0</v>
      </c>
      <c r="CP261">
        <f t="shared" si="222"/>
        <v>1605.06</v>
      </c>
      <c r="CQ261">
        <f t="shared" si="223"/>
        <v>4882.4224000000004</v>
      </c>
      <c r="CR261">
        <f t="shared" si="224"/>
        <v>8354.9231999999993</v>
      </c>
      <c r="CS261">
        <f t="shared" si="225"/>
        <v>1635.4699000000001</v>
      </c>
      <c r="CT261">
        <f t="shared" si="226"/>
        <v>18234.59</v>
      </c>
      <c r="CU261">
        <f t="shared" si="227"/>
        <v>0</v>
      </c>
      <c r="CV261">
        <f t="shared" si="228"/>
        <v>63.28</v>
      </c>
      <c r="CW261">
        <f t="shared" si="229"/>
        <v>3.82</v>
      </c>
      <c r="CX261">
        <f t="shared" si="230"/>
        <v>0</v>
      </c>
      <c r="CY261">
        <f>(((S261+R261)*AT261)/100)</f>
        <v>942.43410000000006</v>
      </c>
      <c r="CZ261">
        <f>(((S261+R261)*AU261)/100)</f>
        <v>628.2894</v>
      </c>
      <c r="DC261" t="s">
        <v>3</v>
      </c>
      <c r="DD261" t="s">
        <v>3</v>
      </c>
      <c r="DE261" t="s">
        <v>3</v>
      </c>
      <c r="DF261" t="s">
        <v>3</v>
      </c>
      <c r="DG261" t="s">
        <v>3</v>
      </c>
      <c r="DH261" t="s">
        <v>3</v>
      </c>
      <c r="DI261" t="s">
        <v>3</v>
      </c>
      <c r="DJ261" t="s">
        <v>3</v>
      </c>
      <c r="DK261" t="s">
        <v>3</v>
      </c>
      <c r="DL261" t="s">
        <v>3</v>
      </c>
      <c r="DM261" t="s">
        <v>3</v>
      </c>
      <c r="DN261">
        <v>0</v>
      </c>
      <c r="DO261">
        <v>0</v>
      </c>
      <c r="DP261">
        <v>1</v>
      </c>
      <c r="DQ261">
        <v>1</v>
      </c>
      <c r="DU261">
        <v>1013</v>
      </c>
      <c r="DV261" t="s">
        <v>220</v>
      </c>
      <c r="DW261" t="s">
        <v>220</v>
      </c>
      <c r="DX261">
        <v>1</v>
      </c>
      <c r="DZ261" t="s">
        <v>3</v>
      </c>
      <c r="EA261" t="s">
        <v>3</v>
      </c>
      <c r="EB261" t="s">
        <v>3</v>
      </c>
      <c r="EC261" t="s">
        <v>3</v>
      </c>
      <c r="EE261">
        <v>92109398</v>
      </c>
      <c r="EF261">
        <v>2</v>
      </c>
      <c r="EG261" t="s">
        <v>21</v>
      </c>
      <c r="EH261">
        <v>9</v>
      </c>
      <c r="EI261" t="s">
        <v>40</v>
      </c>
      <c r="EJ261">
        <v>1</v>
      </c>
      <c r="EK261">
        <v>9001</v>
      </c>
      <c r="EL261" t="s">
        <v>40</v>
      </c>
      <c r="EM261" t="s">
        <v>41</v>
      </c>
      <c r="EO261" t="s">
        <v>3</v>
      </c>
      <c r="EQ261">
        <v>0</v>
      </c>
      <c r="ER261">
        <v>1313.7</v>
      </c>
      <c r="ES261">
        <v>232.94</v>
      </c>
      <c r="ET261">
        <v>563.76</v>
      </c>
      <c r="EU261">
        <v>46.37</v>
      </c>
      <c r="EV261">
        <v>517</v>
      </c>
      <c r="EW261">
        <v>63.28</v>
      </c>
      <c r="EX261">
        <v>3.82</v>
      </c>
      <c r="EY261">
        <v>0</v>
      </c>
      <c r="FQ261">
        <v>0</v>
      </c>
      <c r="FR261">
        <f t="shared" si="231"/>
        <v>0</v>
      </c>
      <c r="FS261">
        <v>0</v>
      </c>
      <c r="FX261">
        <v>93</v>
      </c>
      <c r="FY261">
        <v>62</v>
      </c>
      <c r="GA261" t="s">
        <v>3</v>
      </c>
      <c r="GD261">
        <v>1</v>
      </c>
      <c r="GF261">
        <v>813488161</v>
      </c>
      <c r="GG261">
        <v>2</v>
      </c>
      <c r="GH261">
        <v>1</v>
      </c>
      <c r="GI261">
        <v>2</v>
      </c>
      <c r="GJ261">
        <v>0</v>
      </c>
      <c r="GK261">
        <v>0</v>
      </c>
      <c r="GL261">
        <f t="shared" si="232"/>
        <v>0</v>
      </c>
      <c r="GM261">
        <f t="shared" si="233"/>
        <v>3175.78</v>
      </c>
      <c r="GN261">
        <f t="shared" si="234"/>
        <v>3175.78</v>
      </c>
      <c r="GO261">
        <f t="shared" si="235"/>
        <v>0</v>
      </c>
      <c r="GP261">
        <f t="shared" si="236"/>
        <v>0</v>
      </c>
      <c r="GR261">
        <v>0</v>
      </c>
      <c r="GS261">
        <v>3</v>
      </c>
      <c r="GT261">
        <v>0</v>
      </c>
      <c r="GU261" t="s">
        <v>3</v>
      </c>
      <c r="GV261">
        <f t="shared" si="237"/>
        <v>0</v>
      </c>
      <c r="GW261">
        <v>1</v>
      </c>
      <c r="GX261">
        <f t="shared" si="238"/>
        <v>0</v>
      </c>
      <c r="HA261">
        <v>0</v>
      </c>
      <c r="HB261">
        <v>0</v>
      </c>
      <c r="HC261">
        <f t="shared" si="239"/>
        <v>0</v>
      </c>
      <c r="HE261" t="s">
        <v>3</v>
      </c>
      <c r="HF261" t="s">
        <v>3</v>
      </c>
      <c r="HM261" t="s">
        <v>3</v>
      </c>
      <c r="HN261" t="s">
        <v>42</v>
      </c>
      <c r="HO261" t="s">
        <v>43</v>
      </c>
      <c r="HP261" t="s">
        <v>40</v>
      </c>
      <c r="HQ261" t="s">
        <v>40</v>
      </c>
      <c r="IK261">
        <v>0</v>
      </c>
    </row>
    <row r="262" spans="1:245" x14ac:dyDescent="0.2">
      <c r="A262">
        <v>18</v>
      </c>
      <c r="B262">
        <v>1</v>
      </c>
      <c r="C262">
        <v>190</v>
      </c>
      <c r="E262" t="s">
        <v>364</v>
      </c>
      <c r="F262" t="s">
        <v>256</v>
      </c>
      <c r="G262" t="s">
        <v>257</v>
      </c>
      <c r="H262" t="s">
        <v>170</v>
      </c>
      <c r="I262">
        <f>I261*J262</f>
        <v>5.0999999999999997E-2</v>
      </c>
      <c r="J262">
        <v>1</v>
      </c>
      <c r="K262">
        <v>1</v>
      </c>
      <c r="O262">
        <f t="shared" si="202"/>
        <v>0</v>
      </c>
      <c r="P262">
        <f t="shared" si="203"/>
        <v>0</v>
      </c>
      <c r="Q262">
        <f t="shared" si="204"/>
        <v>0</v>
      </c>
      <c r="R262">
        <f t="shared" si="205"/>
        <v>0</v>
      </c>
      <c r="S262">
        <f t="shared" si="206"/>
        <v>0</v>
      </c>
      <c r="T262">
        <f t="shared" si="207"/>
        <v>0</v>
      </c>
      <c r="U262">
        <f t="shared" si="208"/>
        <v>0</v>
      </c>
      <c r="V262">
        <f t="shared" si="209"/>
        <v>0</v>
      </c>
      <c r="W262">
        <f t="shared" si="210"/>
        <v>0</v>
      </c>
      <c r="X262">
        <f t="shared" si="211"/>
        <v>0</v>
      </c>
      <c r="Y262">
        <f t="shared" si="212"/>
        <v>0</v>
      </c>
      <c r="AA262">
        <v>94798619</v>
      </c>
      <c r="AB262">
        <f t="shared" si="213"/>
        <v>0</v>
      </c>
      <c r="AC262">
        <f t="shared" si="214"/>
        <v>0</v>
      </c>
      <c r="AD262">
        <f t="shared" si="215"/>
        <v>0</v>
      </c>
      <c r="AE262">
        <f t="shared" si="216"/>
        <v>0</v>
      </c>
      <c r="AF262">
        <f t="shared" si="217"/>
        <v>0</v>
      </c>
      <c r="AG262">
        <f t="shared" si="218"/>
        <v>0</v>
      </c>
      <c r="AH262">
        <f t="shared" si="219"/>
        <v>0</v>
      </c>
      <c r="AI262">
        <f t="shared" si="220"/>
        <v>0</v>
      </c>
      <c r="AJ262">
        <f t="shared" si="221"/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93</v>
      </c>
      <c r="AU262">
        <v>62</v>
      </c>
      <c r="AV262">
        <v>1</v>
      </c>
      <c r="AW262">
        <v>1</v>
      </c>
      <c r="AZ262">
        <v>1</v>
      </c>
      <c r="BA262">
        <v>1</v>
      </c>
      <c r="BB262">
        <v>1</v>
      </c>
      <c r="BC262">
        <v>1</v>
      </c>
      <c r="BD262" t="s">
        <v>3</v>
      </c>
      <c r="BE262" t="s">
        <v>3</v>
      </c>
      <c r="BF262" t="s">
        <v>3</v>
      </c>
      <c r="BG262" t="s">
        <v>3</v>
      </c>
      <c r="BH262">
        <v>3</v>
      </c>
      <c r="BI262">
        <v>1</v>
      </c>
      <c r="BJ262" t="s">
        <v>258</v>
      </c>
      <c r="BM262">
        <v>9001</v>
      </c>
      <c r="BN262">
        <v>0</v>
      </c>
      <c r="BO262" t="s">
        <v>3</v>
      </c>
      <c r="BP262">
        <v>0</v>
      </c>
      <c r="BQ262">
        <v>2</v>
      </c>
      <c r="BR262">
        <v>0</v>
      </c>
      <c r="BS262">
        <v>1</v>
      </c>
      <c r="BT262">
        <v>1</v>
      </c>
      <c r="BU262">
        <v>1</v>
      </c>
      <c r="BV262">
        <v>1</v>
      </c>
      <c r="BW262">
        <v>1</v>
      </c>
      <c r="BX262">
        <v>1</v>
      </c>
      <c r="BY262" t="s">
        <v>3</v>
      </c>
      <c r="BZ262">
        <v>93</v>
      </c>
      <c r="CA262">
        <v>62</v>
      </c>
      <c r="CB262" t="s">
        <v>3</v>
      </c>
      <c r="CE262">
        <v>0</v>
      </c>
      <c r="CF262">
        <v>0</v>
      </c>
      <c r="CG262">
        <v>0</v>
      </c>
      <c r="CM262">
        <v>0</v>
      </c>
      <c r="CN262" t="s">
        <v>3</v>
      </c>
      <c r="CO262">
        <v>0</v>
      </c>
      <c r="CP262">
        <f t="shared" si="222"/>
        <v>0</v>
      </c>
      <c r="CQ262">
        <f t="shared" si="223"/>
        <v>0</v>
      </c>
      <c r="CR262">
        <f t="shared" si="224"/>
        <v>0</v>
      </c>
      <c r="CS262">
        <f t="shared" si="225"/>
        <v>0</v>
      </c>
      <c r="CT262">
        <f t="shared" si="226"/>
        <v>0</v>
      </c>
      <c r="CU262">
        <f t="shared" si="227"/>
        <v>0</v>
      </c>
      <c r="CV262">
        <f t="shared" si="228"/>
        <v>0</v>
      </c>
      <c r="CW262">
        <f t="shared" si="229"/>
        <v>0</v>
      </c>
      <c r="CX262">
        <f t="shared" si="230"/>
        <v>0</v>
      </c>
      <c r="CY262">
        <f>(((S262+R262)*AT262)/100)</f>
        <v>0</v>
      </c>
      <c r="CZ262">
        <f>(((S262+R262)*AU262)/100)</f>
        <v>0</v>
      </c>
      <c r="DC262" t="s">
        <v>3</v>
      </c>
      <c r="DD262" t="s">
        <v>3</v>
      </c>
      <c r="DE262" t="s">
        <v>3</v>
      </c>
      <c r="DF262" t="s">
        <v>3</v>
      </c>
      <c r="DG262" t="s">
        <v>3</v>
      </c>
      <c r="DH262" t="s">
        <v>3</v>
      </c>
      <c r="DI262" t="s">
        <v>3</v>
      </c>
      <c r="DJ262" t="s">
        <v>3</v>
      </c>
      <c r="DK262" t="s">
        <v>3</v>
      </c>
      <c r="DL262" t="s">
        <v>3</v>
      </c>
      <c r="DM262" t="s">
        <v>3</v>
      </c>
      <c r="DN262">
        <v>0</v>
      </c>
      <c r="DO262">
        <v>0</v>
      </c>
      <c r="DP262">
        <v>1</v>
      </c>
      <c r="DQ262">
        <v>1</v>
      </c>
      <c r="DU262">
        <v>1009</v>
      </c>
      <c r="DV262" t="s">
        <v>170</v>
      </c>
      <c r="DW262" t="s">
        <v>170</v>
      </c>
      <c r="DX262">
        <v>1000</v>
      </c>
      <c r="DZ262" t="s">
        <v>3</v>
      </c>
      <c r="EA262" t="s">
        <v>3</v>
      </c>
      <c r="EB262" t="s">
        <v>3</v>
      </c>
      <c r="EC262" t="s">
        <v>3</v>
      </c>
      <c r="EE262">
        <v>92109398</v>
      </c>
      <c r="EF262">
        <v>2</v>
      </c>
      <c r="EG262" t="s">
        <v>21</v>
      </c>
      <c r="EH262">
        <v>9</v>
      </c>
      <c r="EI262" t="s">
        <v>40</v>
      </c>
      <c r="EJ262">
        <v>1</v>
      </c>
      <c r="EK262">
        <v>9001</v>
      </c>
      <c r="EL262" t="s">
        <v>40</v>
      </c>
      <c r="EM262" t="s">
        <v>41</v>
      </c>
      <c r="EO262" t="s">
        <v>3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FQ262">
        <v>0</v>
      </c>
      <c r="FR262">
        <f t="shared" si="231"/>
        <v>0</v>
      </c>
      <c r="FS262">
        <v>0</v>
      </c>
      <c r="FX262">
        <v>93</v>
      </c>
      <c r="FY262">
        <v>62</v>
      </c>
      <c r="GA262" t="s">
        <v>3</v>
      </c>
      <c r="GD262">
        <v>1</v>
      </c>
      <c r="GF262">
        <v>-494558740</v>
      </c>
      <c r="GG262">
        <v>2</v>
      </c>
      <c r="GH262">
        <v>1</v>
      </c>
      <c r="GI262">
        <v>-2</v>
      </c>
      <c r="GJ262">
        <v>0</v>
      </c>
      <c r="GK262">
        <v>0</v>
      </c>
      <c r="GL262">
        <f t="shared" si="232"/>
        <v>0</v>
      </c>
      <c r="GM262">
        <f t="shared" si="233"/>
        <v>0</v>
      </c>
      <c r="GN262">
        <f t="shared" si="234"/>
        <v>0</v>
      </c>
      <c r="GO262">
        <f t="shared" si="235"/>
        <v>0</v>
      </c>
      <c r="GP262">
        <f t="shared" si="236"/>
        <v>0</v>
      </c>
      <c r="GR262">
        <v>0</v>
      </c>
      <c r="GS262">
        <v>3</v>
      </c>
      <c r="GT262">
        <v>0</v>
      </c>
      <c r="GU262" t="s">
        <v>3</v>
      </c>
      <c r="GV262">
        <f t="shared" si="237"/>
        <v>0</v>
      </c>
      <c r="GW262">
        <v>1</v>
      </c>
      <c r="GX262">
        <f t="shared" si="238"/>
        <v>0</v>
      </c>
      <c r="HA262">
        <v>0</v>
      </c>
      <c r="HB262">
        <v>0</v>
      </c>
      <c r="HC262">
        <f t="shared" si="239"/>
        <v>0</v>
      </c>
      <c r="HE262" t="s">
        <v>3</v>
      </c>
      <c r="HF262" t="s">
        <v>3</v>
      </c>
      <c r="HM262" t="s">
        <v>3</v>
      </c>
      <c r="HN262" t="s">
        <v>42</v>
      </c>
      <c r="HO262" t="s">
        <v>43</v>
      </c>
      <c r="HP262" t="s">
        <v>40</v>
      </c>
      <c r="HQ262" t="s">
        <v>40</v>
      </c>
      <c r="IK262">
        <v>0</v>
      </c>
    </row>
    <row r="263" spans="1:245" x14ac:dyDescent="0.2">
      <c r="A263">
        <v>17</v>
      </c>
      <c r="B263">
        <v>1</v>
      </c>
      <c r="E263" t="s">
        <v>365</v>
      </c>
      <c r="F263" t="s">
        <v>366</v>
      </c>
      <c r="G263" t="s">
        <v>367</v>
      </c>
      <c r="H263" t="s">
        <v>368</v>
      </c>
      <c r="I263">
        <v>14.7</v>
      </c>
      <c r="J263">
        <v>0</v>
      </c>
      <c r="K263">
        <v>14.7</v>
      </c>
      <c r="O263">
        <f t="shared" si="202"/>
        <v>4036.94</v>
      </c>
      <c r="P263">
        <f t="shared" si="203"/>
        <v>4036.94</v>
      </c>
      <c r="Q263">
        <f t="shared" si="204"/>
        <v>0</v>
      </c>
      <c r="R263">
        <f t="shared" si="205"/>
        <v>0</v>
      </c>
      <c r="S263">
        <f t="shared" si="206"/>
        <v>0</v>
      </c>
      <c r="T263">
        <f t="shared" si="207"/>
        <v>0</v>
      </c>
      <c r="U263">
        <f t="shared" si="208"/>
        <v>0</v>
      </c>
      <c r="V263">
        <f t="shared" si="209"/>
        <v>0</v>
      </c>
      <c r="W263">
        <f t="shared" si="210"/>
        <v>0</v>
      </c>
      <c r="X263">
        <f t="shared" si="211"/>
        <v>0</v>
      </c>
      <c r="Y263">
        <f t="shared" si="212"/>
        <v>0</v>
      </c>
      <c r="AA263">
        <v>94798619</v>
      </c>
      <c r="AB263">
        <f t="shared" si="213"/>
        <v>28.37</v>
      </c>
      <c r="AC263">
        <f t="shared" si="214"/>
        <v>28.37</v>
      </c>
      <c r="AD263">
        <f t="shared" si="215"/>
        <v>0</v>
      </c>
      <c r="AE263">
        <f t="shared" si="216"/>
        <v>0</v>
      </c>
      <c r="AF263">
        <f t="shared" si="217"/>
        <v>0</v>
      </c>
      <c r="AG263">
        <f t="shared" si="218"/>
        <v>0</v>
      </c>
      <c r="AH263">
        <f t="shared" si="219"/>
        <v>0</v>
      </c>
      <c r="AI263">
        <f t="shared" si="220"/>
        <v>0</v>
      </c>
      <c r="AJ263">
        <f t="shared" si="221"/>
        <v>0</v>
      </c>
      <c r="AK263">
        <v>28.37</v>
      </c>
      <c r="AL263">
        <v>28.37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1</v>
      </c>
      <c r="AW263">
        <v>1</v>
      </c>
      <c r="AZ263">
        <v>1</v>
      </c>
      <c r="BA263">
        <v>1</v>
      </c>
      <c r="BB263">
        <v>1</v>
      </c>
      <c r="BC263">
        <v>9.68</v>
      </c>
      <c r="BD263" t="s">
        <v>3</v>
      </c>
      <c r="BE263" t="s">
        <v>3</v>
      </c>
      <c r="BF263" t="s">
        <v>3</v>
      </c>
      <c r="BG263" t="s">
        <v>3</v>
      </c>
      <c r="BH263">
        <v>3</v>
      </c>
      <c r="BI263">
        <v>1</v>
      </c>
      <c r="BJ263" t="s">
        <v>369</v>
      </c>
      <c r="BM263">
        <v>500001</v>
      </c>
      <c r="BN263">
        <v>0</v>
      </c>
      <c r="BO263" t="s">
        <v>366</v>
      </c>
      <c r="BP263">
        <v>1</v>
      </c>
      <c r="BQ263">
        <v>8</v>
      </c>
      <c r="BR263">
        <v>0</v>
      </c>
      <c r="BS263">
        <v>1</v>
      </c>
      <c r="BT263">
        <v>1</v>
      </c>
      <c r="BU263">
        <v>1</v>
      </c>
      <c r="BV263">
        <v>1</v>
      </c>
      <c r="BW263">
        <v>1</v>
      </c>
      <c r="BX263">
        <v>1</v>
      </c>
      <c r="BY263" t="s">
        <v>3</v>
      </c>
      <c r="BZ263">
        <v>0</v>
      </c>
      <c r="CA263">
        <v>0</v>
      </c>
      <c r="CB263" t="s">
        <v>3</v>
      </c>
      <c r="CE263">
        <v>0</v>
      </c>
      <c r="CF263">
        <v>0</v>
      </c>
      <c r="CG263">
        <v>0</v>
      </c>
      <c r="CM263">
        <v>0</v>
      </c>
      <c r="CN263" t="s">
        <v>3</v>
      </c>
      <c r="CO263">
        <v>0</v>
      </c>
      <c r="CP263">
        <f t="shared" si="222"/>
        <v>4036.94</v>
      </c>
      <c r="CQ263">
        <f t="shared" si="223"/>
        <v>274.6216</v>
      </c>
      <c r="CR263">
        <f t="shared" si="224"/>
        <v>0</v>
      </c>
      <c r="CS263">
        <f t="shared" si="225"/>
        <v>0</v>
      </c>
      <c r="CT263">
        <f t="shared" si="226"/>
        <v>0</v>
      </c>
      <c r="CU263">
        <f t="shared" si="227"/>
        <v>0</v>
      </c>
      <c r="CV263">
        <f t="shared" si="228"/>
        <v>0</v>
      </c>
      <c r="CW263">
        <f t="shared" si="229"/>
        <v>0</v>
      </c>
      <c r="CX263">
        <f t="shared" si="230"/>
        <v>0</v>
      </c>
      <c r="CY263">
        <f>0</f>
        <v>0</v>
      </c>
      <c r="CZ263">
        <f>0</f>
        <v>0</v>
      </c>
      <c r="DC263" t="s">
        <v>3</v>
      </c>
      <c r="DD263" t="s">
        <v>3</v>
      </c>
      <c r="DE263" t="s">
        <v>3</v>
      </c>
      <c r="DF263" t="s">
        <v>3</v>
      </c>
      <c r="DG263" t="s">
        <v>3</v>
      </c>
      <c r="DH263" t="s">
        <v>3</v>
      </c>
      <c r="DI263" t="s">
        <v>3</v>
      </c>
      <c r="DJ263" t="s">
        <v>3</v>
      </c>
      <c r="DK263" t="s">
        <v>3</v>
      </c>
      <c r="DL263" t="s">
        <v>3</v>
      </c>
      <c r="DM263" t="s">
        <v>3</v>
      </c>
      <c r="DN263">
        <v>0</v>
      </c>
      <c r="DO263">
        <v>0</v>
      </c>
      <c r="DP263">
        <v>1</v>
      </c>
      <c r="DQ263">
        <v>1</v>
      </c>
      <c r="DU263">
        <v>1003</v>
      </c>
      <c r="DV263" t="s">
        <v>368</v>
      </c>
      <c r="DW263" t="s">
        <v>368</v>
      </c>
      <c r="DX263">
        <v>1</v>
      </c>
      <c r="DZ263" t="s">
        <v>3</v>
      </c>
      <c r="EA263" t="s">
        <v>3</v>
      </c>
      <c r="EB263" t="s">
        <v>3</v>
      </c>
      <c r="EC263" t="s">
        <v>3</v>
      </c>
      <c r="EE263">
        <v>92109332</v>
      </c>
      <c r="EF263">
        <v>8</v>
      </c>
      <c r="EG263" t="s">
        <v>154</v>
      </c>
      <c r="EH263">
        <v>0</v>
      </c>
      <c r="EI263" t="s">
        <v>3</v>
      </c>
      <c r="EJ263">
        <v>1</v>
      </c>
      <c r="EK263">
        <v>500001</v>
      </c>
      <c r="EL263" t="s">
        <v>155</v>
      </c>
      <c r="EM263" t="s">
        <v>156</v>
      </c>
      <c r="EO263" t="s">
        <v>3</v>
      </c>
      <c r="EQ263">
        <v>0</v>
      </c>
      <c r="ER263">
        <v>28.37</v>
      </c>
      <c r="ES263">
        <v>28.37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FQ263">
        <v>0</v>
      </c>
      <c r="FR263">
        <f t="shared" si="231"/>
        <v>0</v>
      </c>
      <c r="FS263">
        <v>0</v>
      </c>
      <c r="FX263">
        <v>0</v>
      </c>
      <c r="FY263">
        <v>0</v>
      </c>
      <c r="GA263" t="s">
        <v>3</v>
      </c>
      <c r="GD263">
        <v>1</v>
      </c>
      <c r="GF263">
        <v>-1760736261</v>
      </c>
      <c r="GG263">
        <v>2</v>
      </c>
      <c r="GH263">
        <v>1</v>
      </c>
      <c r="GI263">
        <v>2</v>
      </c>
      <c r="GJ263">
        <v>0</v>
      </c>
      <c r="GK263">
        <v>0</v>
      </c>
      <c r="GL263">
        <f t="shared" si="232"/>
        <v>0</v>
      </c>
      <c r="GM263">
        <f t="shared" si="233"/>
        <v>4036.94</v>
      </c>
      <c r="GN263">
        <f t="shared" si="234"/>
        <v>4036.94</v>
      </c>
      <c r="GO263">
        <f t="shared" si="235"/>
        <v>0</v>
      </c>
      <c r="GP263">
        <f t="shared" si="236"/>
        <v>0</v>
      </c>
      <c r="GR263">
        <v>0</v>
      </c>
      <c r="GS263">
        <v>3</v>
      </c>
      <c r="GT263">
        <v>0</v>
      </c>
      <c r="GU263" t="s">
        <v>3</v>
      </c>
      <c r="GV263">
        <f t="shared" si="237"/>
        <v>0</v>
      </c>
      <c r="GW263">
        <v>1</v>
      </c>
      <c r="GX263">
        <f t="shared" si="238"/>
        <v>0</v>
      </c>
      <c r="HA263">
        <v>0</v>
      </c>
      <c r="HB263">
        <v>0</v>
      </c>
      <c r="HC263">
        <f t="shared" si="239"/>
        <v>0</v>
      </c>
      <c r="HE263" t="s">
        <v>3</v>
      </c>
      <c r="HF263" t="s">
        <v>3</v>
      </c>
      <c r="HM263" t="s">
        <v>3</v>
      </c>
      <c r="HN263" t="s">
        <v>3</v>
      </c>
      <c r="HO263" t="s">
        <v>3</v>
      </c>
      <c r="HP263" t="s">
        <v>3</v>
      </c>
      <c r="HQ263" t="s">
        <v>3</v>
      </c>
      <c r="IK263">
        <v>0</v>
      </c>
    </row>
    <row r="264" spans="1:245" x14ac:dyDescent="0.2">
      <c r="A264">
        <v>17</v>
      </c>
      <c r="B264">
        <v>1</v>
      </c>
      <c r="C264">
        <f>ROW(SmtRes!A220)</f>
        <v>220</v>
      </c>
      <c r="D264">
        <f>ROW(EtalonRes!A220)</f>
        <v>220</v>
      </c>
      <c r="E264" t="s">
        <v>370</v>
      </c>
      <c r="F264" t="s">
        <v>371</v>
      </c>
      <c r="G264" t="s">
        <v>372</v>
      </c>
      <c r="H264" t="s">
        <v>373</v>
      </c>
      <c r="I264">
        <f>ROUND(13.5/100,9)</f>
        <v>0.13500000000000001</v>
      </c>
      <c r="J264">
        <v>0</v>
      </c>
      <c r="K264">
        <f>ROUND(13.5/100,9)</f>
        <v>0.13500000000000001</v>
      </c>
      <c r="O264">
        <f t="shared" si="202"/>
        <v>9085.4</v>
      </c>
      <c r="P264">
        <f t="shared" si="203"/>
        <v>656.52</v>
      </c>
      <c r="Q264">
        <f t="shared" si="204"/>
        <v>4178</v>
      </c>
      <c r="R264">
        <f t="shared" si="205"/>
        <v>951.91</v>
      </c>
      <c r="S264">
        <f t="shared" si="206"/>
        <v>4250.88</v>
      </c>
      <c r="T264">
        <f t="shared" si="207"/>
        <v>0</v>
      </c>
      <c r="U264">
        <f t="shared" si="208"/>
        <v>14.212800000000001</v>
      </c>
      <c r="V264">
        <f t="shared" si="209"/>
        <v>2.214</v>
      </c>
      <c r="W264">
        <f t="shared" si="210"/>
        <v>0</v>
      </c>
      <c r="X264">
        <f t="shared" si="211"/>
        <v>4838.59</v>
      </c>
      <c r="Y264">
        <f t="shared" si="212"/>
        <v>3225.73</v>
      </c>
      <c r="AA264">
        <v>94798619</v>
      </c>
      <c r="AB264">
        <f t="shared" si="213"/>
        <v>3888.79</v>
      </c>
      <c r="AC264">
        <f t="shared" si="214"/>
        <v>300.19</v>
      </c>
      <c r="AD264">
        <f t="shared" si="215"/>
        <v>2695.83</v>
      </c>
      <c r="AE264">
        <f t="shared" si="216"/>
        <v>199.92</v>
      </c>
      <c r="AF264">
        <f t="shared" si="217"/>
        <v>892.77</v>
      </c>
      <c r="AG264">
        <f t="shared" si="218"/>
        <v>0</v>
      </c>
      <c r="AH264">
        <f t="shared" si="219"/>
        <v>105.28</v>
      </c>
      <c r="AI264">
        <f t="shared" si="220"/>
        <v>16.399999999999999</v>
      </c>
      <c r="AJ264">
        <f t="shared" si="221"/>
        <v>0</v>
      </c>
      <c r="AK264">
        <v>3888.79</v>
      </c>
      <c r="AL264">
        <v>300.19</v>
      </c>
      <c r="AM264">
        <v>2695.83</v>
      </c>
      <c r="AN264">
        <v>199.92</v>
      </c>
      <c r="AO264">
        <v>892.77</v>
      </c>
      <c r="AP264">
        <v>0</v>
      </c>
      <c r="AQ264">
        <v>105.28</v>
      </c>
      <c r="AR264">
        <v>16.399999999999999</v>
      </c>
      <c r="AS264">
        <v>0</v>
      </c>
      <c r="AT264">
        <v>93</v>
      </c>
      <c r="AU264">
        <v>62</v>
      </c>
      <c r="AV264">
        <v>1</v>
      </c>
      <c r="AW264">
        <v>1</v>
      </c>
      <c r="AZ264">
        <v>1</v>
      </c>
      <c r="BA264">
        <v>35.270000000000003</v>
      </c>
      <c r="BB264">
        <v>11.48</v>
      </c>
      <c r="BC264">
        <v>16.2</v>
      </c>
      <c r="BD264" t="s">
        <v>3</v>
      </c>
      <c r="BE264" t="s">
        <v>3</v>
      </c>
      <c r="BF264" t="s">
        <v>3</v>
      </c>
      <c r="BG264" t="s">
        <v>3</v>
      </c>
      <c r="BH264">
        <v>0</v>
      </c>
      <c r="BI264">
        <v>1</v>
      </c>
      <c r="BJ264" t="s">
        <v>374</v>
      </c>
      <c r="BM264">
        <v>9001</v>
      </c>
      <c r="BN264">
        <v>0</v>
      </c>
      <c r="BO264" t="s">
        <v>371</v>
      </c>
      <c r="BP264">
        <v>1</v>
      </c>
      <c r="BQ264">
        <v>2</v>
      </c>
      <c r="BR264">
        <v>0</v>
      </c>
      <c r="BS264">
        <v>35.270000000000003</v>
      </c>
      <c r="BT264">
        <v>1</v>
      </c>
      <c r="BU264">
        <v>1</v>
      </c>
      <c r="BV264">
        <v>1</v>
      </c>
      <c r="BW264">
        <v>1</v>
      </c>
      <c r="BX264">
        <v>1</v>
      </c>
      <c r="BY264" t="s">
        <v>3</v>
      </c>
      <c r="BZ264">
        <v>93</v>
      </c>
      <c r="CA264">
        <v>62</v>
      </c>
      <c r="CB264" t="s">
        <v>3</v>
      </c>
      <c r="CE264">
        <v>0</v>
      </c>
      <c r="CF264">
        <v>0</v>
      </c>
      <c r="CG264">
        <v>0</v>
      </c>
      <c r="CM264">
        <v>0</v>
      </c>
      <c r="CN264" t="s">
        <v>3</v>
      </c>
      <c r="CO264">
        <v>0</v>
      </c>
      <c r="CP264">
        <f t="shared" si="222"/>
        <v>9085.4000000000015</v>
      </c>
      <c r="CQ264">
        <f t="shared" si="223"/>
        <v>4863.0779999999995</v>
      </c>
      <c r="CR264">
        <f t="shared" si="224"/>
        <v>30948.128400000001</v>
      </c>
      <c r="CS264">
        <f t="shared" si="225"/>
        <v>7051.1783999999998</v>
      </c>
      <c r="CT264">
        <f t="shared" si="226"/>
        <v>31487.997900000002</v>
      </c>
      <c r="CU264">
        <f t="shared" si="227"/>
        <v>0</v>
      </c>
      <c r="CV264">
        <f t="shared" si="228"/>
        <v>105.28</v>
      </c>
      <c r="CW264">
        <f t="shared" si="229"/>
        <v>16.399999999999999</v>
      </c>
      <c r="CX264">
        <f t="shared" si="230"/>
        <v>0</v>
      </c>
      <c r="CY264">
        <f>(((S264+R264)*AT264)/100)</f>
        <v>4838.5946999999996</v>
      </c>
      <c r="CZ264">
        <f>(((S264+R264)*AU264)/100)</f>
        <v>3225.7297999999996</v>
      </c>
      <c r="DC264" t="s">
        <v>3</v>
      </c>
      <c r="DD264" t="s">
        <v>3</v>
      </c>
      <c r="DE264" t="s">
        <v>3</v>
      </c>
      <c r="DF264" t="s">
        <v>3</v>
      </c>
      <c r="DG264" t="s">
        <v>3</v>
      </c>
      <c r="DH264" t="s">
        <v>3</v>
      </c>
      <c r="DI264" t="s">
        <v>3</v>
      </c>
      <c r="DJ264" t="s">
        <v>3</v>
      </c>
      <c r="DK264" t="s">
        <v>3</v>
      </c>
      <c r="DL264" t="s">
        <v>3</v>
      </c>
      <c r="DM264" t="s">
        <v>3</v>
      </c>
      <c r="DN264">
        <v>0</v>
      </c>
      <c r="DO264">
        <v>0</v>
      </c>
      <c r="DP264">
        <v>1</v>
      </c>
      <c r="DQ264">
        <v>1</v>
      </c>
      <c r="DU264">
        <v>1005</v>
      </c>
      <c r="DV264" t="s">
        <v>373</v>
      </c>
      <c r="DW264" t="s">
        <v>373</v>
      </c>
      <c r="DX264">
        <v>100</v>
      </c>
      <c r="DZ264" t="s">
        <v>3</v>
      </c>
      <c r="EA264" t="s">
        <v>3</v>
      </c>
      <c r="EB264" t="s">
        <v>3</v>
      </c>
      <c r="EC264" t="s">
        <v>3</v>
      </c>
      <c r="EE264">
        <v>92109398</v>
      </c>
      <c r="EF264">
        <v>2</v>
      </c>
      <c r="EG264" t="s">
        <v>21</v>
      </c>
      <c r="EH264">
        <v>9</v>
      </c>
      <c r="EI264" t="s">
        <v>40</v>
      </c>
      <c r="EJ264">
        <v>1</v>
      </c>
      <c r="EK264">
        <v>9001</v>
      </c>
      <c r="EL264" t="s">
        <v>40</v>
      </c>
      <c r="EM264" t="s">
        <v>41</v>
      </c>
      <c r="EO264" t="s">
        <v>3</v>
      </c>
      <c r="EQ264">
        <v>0</v>
      </c>
      <c r="ER264">
        <v>3888.79</v>
      </c>
      <c r="ES264">
        <v>300.19</v>
      </c>
      <c r="ET264">
        <v>2695.83</v>
      </c>
      <c r="EU264">
        <v>199.92</v>
      </c>
      <c r="EV264">
        <v>892.77</v>
      </c>
      <c r="EW264">
        <v>105.28</v>
      </c>
      <c r="EX264">
        <v>16.399999999999999</v>
      </c>
      <c r="EY264">
        <v>0</v>
      </c>
      <c r="FQ264">
        <v>0</v>
      </c>
      <c r="FR264">
        <f t="shared" si="231"/>
        <v>0</v>
      </c>
      <c r="FS264">
        <v>0</v>
      </c>
      <c r="FX264">
        <v>93</v>
      </c>
      <c r="FY264">
        <v>62</v>
      </c>
      <c r="GA264" t="s">
        <v>3</v>
      </c>
      <c r="GD264">
        <v>1</v>
      </c>
      <c r="GF264">
        <v>-2006548905</v>
      </c>
      <c r="GG264">
        <v>2</v>
      </c>
      <c r="GH264">
        <v>1</v>
      </c>
      <c r="GI264">
        <v>2</v>
      </c>
      <c r="GJ264">
        <v>0</v>
      </c>
      <c r="GK264">
        <v>0</v>
      </c>
      <c r="GL264">
        <f t="shared" si="232"/>
        <v>0</v>
      </c>
      <c r="GM264">
        <f t="shared" si="233"/>
        <v>17149.72</v>
      </c>
      <c r="GN264">
        <f t="shared" si="234"/>
        <v>17149.72</v>
      </c>
      <c r="GO264">
        <f t="shared" si="235"/>
        <v>0</v>
      </c>
      <c r="GP264">
        <f t="shared" si="236"/>
        <v>0</v>
      </c>
      <c r="GR264">
        <v>0</v>
      </c>
      <c r="GS264">
        <v>3</v>
      </c>
      <c r="GT264">
        <v>0</v>
      </c>
      <c r="GU264" t="s">
        <v>3</v>
      </c>
      <c r="GV264">
        <f t="shared" si="237"/>
        <v>0</v>
      </c>
      <c r="GW264">
        <v>1</v>
      </c>
      <c r="GX264">
        <f t="shared" si="238"/>
        <v>0</v>
      </c>
      <c r="HA264">
        <v>0</v>
      </c>
      <c r="HB264">
        <v>0</v>
      </c>
      <c r="HC264">
        <f t="shared" si="239"/>
        <v>0</v>
      </c>
      <c r="HE264" t="s">
        <v>3</v>
      </c>
      <c r="HF264" t="s">
        <v>3</v>
      </c>
      <c r="HM264" t="s">
        <v>3</v>
      </c>
      <c r="HN264" t="s">
        <v>42</v>
      </c>
      <c r="HO264" t="s">
        <v>43</v>
      </c>
      <c r="HP264" t="s">
        <v>40</v>
      </c>
      <c r="HQ264" t="s">
        <v>40</v>
      </c>
      <c r="IK264">
        <v>0</v>
      </c>
    </row>
    <row r="265" spans="1:245" x14ac:dyDescent="0.2">
      <c r="A265">
        <v>18</v>
      </c>
      <c r="B265">
        <v>1</v>
      </c>
      <c r="C265">
        <v>214</v>
      </c>
      <c r="E265" t="s">
        <v>375</v>
      </c>
      <c r="F265" t="s">
        <v>376</v>
      </c>
      <c r="G265" t="s">
        <v>377</v>
      </c>
      <c r="H265" t="s">
        <v>170</v>
      </c>
      <c r="I265">
        <f>I264*J265</f>
        <v>0</v>
      </c>
      <c r="J265">
        <v>0</v>
      </c>
      <c r="K265">
        <v>0</v>
      </c>
      <c r="O265">
        <f t="shared" si="202"/>
        <v>0</v>
      </c>
      <c r="P265">
        <f t="shared" si="203"/>
        <v>0</v>
      </c>
      <c r="Q265">
        <f t="shared" si="204"/>
        <v>0</v>
      </c>
      <c r="R265">
        <f t="shared" si="205"/>
        <v>0</v>
      </c>
      <c r="S265">
        <f t="shared" si="206"/>
        <v>0</v>
      </c>
      <c r="T265">
        <f t="shared" si="207"/>
        <v>0</v>
      </c>
      <c r="U265">
        <f t="shared" si="208"/>
        <v>0</v>
      </c>
      <c r="V265">
        <f t="shared" si="209"/>
        <v>0</v>
      </c>
      <c r="W265">
        <f t="shared" si="210"/>
        <v>0</v>
      </c>
      <c r="X265">
        <f t="shared" si="211"/>
        <v>0</v>
      </c>
      <c r="Y265">
        <f t="shared" si="212"/>
        <v>0</v>
      </c>
      <c r="AA265">
        <v>94798619</v>
      </c>
      <c r="AB265">
        <f t="shared" si="213"/>
        <v>0</v>
      </c>
      <c r="AC265">
        <f t="shared" si="214"/>
        <v>0</v>
      </c>
      <c r="AD265">
        <f t="shared" si="215"/>
        <v>0</v>
      </c>
      <c r="AE265">
        <f t="shared" si="216"/>
        <v>0</v>
      </c>
      <c r="AF265">
        <f t="shared" si="217"/>
        <v>0</v>
      </c>
      <c r="AG265">
        <f t="shared" si="218"/>
        <v>0</v>
      </c>
      <c r="AH265">
        <f t="shared" si="219"/>
        <v>0</v>
      </c>
      <c r="AI265">
        <f t="shared" si="220"/>
        <v>0</v>
      </c>
      <c r="AJ265">
        <f t="shared" si="221"/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93</v>
      </c>
      <c r="AU265">
        <v>62</v>
      </c>
      <c r="AV265">
        <v>1</v>
      </c>
      <c r="AW265">
        <v>1</v>
      </c>
      <c r="AZ265">
        <v>1</v>
      </c>
      <c r="BA265">
        <v>1</v>
      </c>
      <c r="BB265">
        <v>1</v>
      </c>
      <c r="BC265">
        <v>1</v>
      </c>
      <c r="BD265" t="s">
        <v>3</v>
      </c>
      <c r="BE265" t="s">
        <v>3</v>
      </c>
      <c r="BF265" t="s">
        <v>3</v>
      </c>
      <c r="BG265" t="s">
        <v>3</v>
      </c>
      <c r="BH265">
        <v>3</v>
      </c>
      <c r="BI265">
        <v>1</v>
      </c>
      <c r="BJ265" t="s">
        <v>378</v>
      </c>
      <c r="BM265">
        <v>9001</v>
      </c>
      <c r="BN265">
        <v>0</v>
      </c>
      <c r="BO265" t="s">
        <v>3</v>
      </c>
      <c r="BP265">
        <v>0</v>
      </c>
      <c r="BQ265">
        <v>2</v>
      </c>
      <c r="BR265">
        <v>0</v>
      </c>
      <c r="BS265">
        <v>1</v>
      </c>
      <c r="BT265">
        <v>1</v>
      </c>
      <c r="BU265">
        <v>1</v>
      </c>
      <c r="BV265">
        <v>1</v>
      </c>
      <c r="BW265">
        <v>1</v>
      </c>
      <c r="BX265">
        <v>1</v>
      </c>
      <c r="BY265" t="s">
        <v>3</v>
      </c>
      <c r="BZ265">
        <v>93</v>
      </c>
      <c r="CA265">
        <v>62</v>
      </c>
      <c r="CB265" t="s">
        <v>3</v>
      </c>
      <c r="CE265">
        <v>0</v>
      </c>
      <c r="CF265">
        <v>0</v>
      </c>
      <c r="CG265">
        <v>0</v>
      </c>
      <c r="CM265">
        <v>0</v>
      </c>
      <c r="CN265" t="s">
        <v>3</v>
      </c>
      <c r="CO265">
        <v>0</v>
      </c>
      <c r="CP265">
        <f t="shared" si="222"/>
        <v>0</v>
      </c>
      <c r="CQ265">
        <f t="shared" si="223"/>
        <v>0</v>
      </c>
      <c r="CR265">
        <f t="shared" si="224"/>
        <v>0</v>
      </c>
      <c r="CS265">
        <f t="shared" si="225"/>
        <v>0</v>
      </c>
      <c r="CT265">
        <f t="shared" si="226"/>
        <v>0</v>
      </c>
      <c r="CU265">
        <f t="shared" si="227"/>
        <v>0</v>
      </c>
      <c r="CV265">
        <f t="shared" si="228"/>
        <v>0</v>
      </c>
      <c r="CW265">
        <f t="shared" si="229"/>
        <v>0</v>
      </c>
      <c r="CX265">
        <f t="shared" si="230"/>
        <v>0</v>
      </c>
      <c r="CY265">
        <f>(((S265+R265)*AT265)/100)</f>
        <v>0</v>
      </c>
      <c r="CZ265">
        <f>(((S265+R265)*AU265)/100)</f>
        <v>0</v>
      </c>
      <c r="DC265" t="s">
        <v>3</v>
      </c>
      <c r="DD265" t="s">
        <v>3</v>
      </c>
      <c r="DE265" t="s">
        <v>3</v>
      </c>
      <c r="DF265" t="s">
        <v>3</v>
      </c>
      <c r="DG265" t="s">
        <v>3</v>
      </c>
      <c r="DH265" t="s">
        <v>3</v>
      </c>
      <c r="DI265" t="s">
        <v>3</v>
      </c>
      <c r="DJ265" t="s">
        <v>3</v>
      </c>
      <c r="DK265" t="s">
        <v>3</v>
      </c>
      <c r="DL265" t="s">
        <v>3</v>
      </c>
      <c r="DM265" t="s">
        <v>3</v>
      </c>
      <c r="DN265">
        <v>0</v>
      </c>
      <c r="DO265">
        <v>0</v>
      </c>
      <c r="DP265">
        <v>1</v>
      </c>
      <c r="DQ265">
        <v>1</v>
      </c>
      <c r="DU265">
        <v>1009</v>
      </c>
      <c r="DV265" t="s">
        <v>170</v>
      </c>
      <c r="DW265" t="s">
        <v>170</v>
      </c>
      <c r="DX265">
        <v>1000</v>
      </c>
      <c r="DZ265" t="s">
        <v>3</v>
      </c>
      <c r="EA265" t="s">
        <v>3</v>
      </c>
      <c r="EB265" t="s">
        <v>3</v>
      </c>
      <c r="EC265" t="s">
        <v>3</v>
      </c>
      <c r="EE265">
        <v>92109398</v>
      </c>
      <c r="EF265">
        <v>2</v>
      </c>
      <c r="EG265" t="s">
        <v>21</v>
      </c>
      <c r="EH265">
        <v>9</v>
      </c>
      <c r="EI265" t="s">
        <v>40</v>
      </c>
      <c r="EJ265">
        <v>1</v>
      </c>
      <c r="EK265">
        <v>9001</v>
      </c>
      <c r="EL265" t="s">
        <v>40</v>
      </c>
      <c r="EM265" t="s">
        <v>41</v>
      </c>
      <c r="EO265" t="s">
        <v>3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FQ265">
        <v>0</v>
      </c>
      <c r="FR265">
        <f t="shared" si="231"/>
        <v>0</v>
      </c>
      <c r="FS265">
        <v>0</v>
      </c>
      <c r="FX265">
        <v>93</v>
      </c>
      <c r="FY265">
        <v>62</v>
      </c>
      <c r="GA265" t="s">
        <v>3</v>
      </c>
      <c r="GD265">
        <v>1</v>
      </c>
      <c r="GF265">
        <v>1958438708</v>
      </c>
      <c r="GG265">
        <v>2</v>
      </c>
      <c r="GH265">
        <v>1</v>
      </c>
      <c r="GI265">
        <v>-2</v>
      </c>
      <c r="GJ265">
        <v>0</v>
      </c>
      <c r="GK265">
        <v>0</v>
      </c>
      <c r="GL265">
        <f t="shared" si="232"/>
        <v>0</v>
      </c>
      <c r="GM265">
        <f t="shared" si="233"/>
        <v>0</v>
      </c>
      <c r="GN265">
        <f t="shared" si="234"/>
        <v>0</v>
      </c>
      <c r="GO265">
        <f t="shared" si="235"/>
        <v>0</v>
      </c>
      <c r="GP265">
        <f t="shared" si="236"/>
        <v>0</v>
      </c>
      <c r="GR265">
        <v>0</v>
      </c>
      <c r="GS265">
        <v>3</v>
      </c>
      <c r="GT265">
        <v>0</v>
      </c>
      <c r="GU265" t="s">
        <v>3</v>
      </c>
      <c r="GV265">
        <f t="shared" si="237"/>
        <v>0</v>
      </c>
      <c r="GW265">
        <v>1</v>
      </c>
      <c r="GX265">
        <f t="shared" si="238"/>
        <v>0</v>
      </c>
      <c r="HA265">
        <v>0</v>
      </c>
      <c r="HB265">
        <v>0</v>
      </c>
      <c r="HC265">
        <f t="shared" si="239"/>
        <v>0</v>
      </c>
      <c r="HE265" t="s">
        <v>3</v>
      </c>
      <c r="HF265" t="s">
        <v>3</v>
      </c>
      <c r="HM265" t="s">
        <v>3</v>
      </c>
      <c r="HN265" t="s">
        <v>42</v>
      </c>
      <c r="HO265" t="s">
        <v>43</v>
      </c>
      <c r="HP265" t="s">
        <v>40</v>
      </c>
      <c r="HQ265" t="s">
        <v>40</v>
      </c>
      <c r="IK265">
        <v>0</v>
      </c>
    </row>
    <row r="266" spans="1:245" x14ac:dyDescent="0.2">
      <c r="A266">
        <v>18</v>
      </c>
      <c r="B266">
        <v>1</v>
      </c>
      <c r="C266">
        <v>215</v>
      </c>
      <c r="E266" t="s">
        <v>379</v>
      </c>
      <c r="F266" t="s">
        <v>380</v>
      </c>
      <c r="G266" t="s">
        <v>381</v>
      </c>
      <c r="H266" t="s">
        <v>170</v>
      </c>
      <c r="I266">
        <f>I264*J266</f>
        <v>0</v>
      </c>
      <c r="J266">
        <v>0</v>
      </c>
      <c r="K266">
        <v>0</v>
      </c>
      <c r="O266">
        <f t="shared" si="202"/>
        <v>0</v>
      </c>
      <c r="P266">
        <f t="shared" si="203"/>
        <v>0</v>
      </c>
      <c r="Q266">
        <f t="shared" si="204"/>
        <v>0</v>
      </c>
      <c r="R266">
        <f t="shared" si="205"/>
        <v>0</v>
      </c>
      <c r="S266">
        <f t="shared" si="206"/>
        <v>0</v>
      </c>
      <c r="T266">
        <f t="shared" si="207"/>
        <v>0</v>
      </c>
      <c r="U266">
        <f t="shared" si="208"/>
        <v>0</v>
      </c>
      <c r="V266">
        <f t="shared" si="209"/>
        <v>0</v>
      </c>
      <c r="W266">
        <f t="shared" si="210"/>
        <v>0</v>
      </c>
      <c r="X266">
        <f t="shared" si="211"/>
        <v>0</v>
      </c>
      <c r="Y266">
        <f t="shared" si="212"/>
        <v>0</v>
      </c>
      <c r="AA266">
        <v>94798619</v>
      </c>
      <c r="AB266">
        <f t="shared" si="213"/>
        <v>0</v>
      </c>
      <c r="AC266">
        <f t="shared" si="214"/>
        <v>0</v>
      </c>
      <c r="AD266">
        <f t="shared" si="215"/>
        <v>0</v>
      </c>
      <c r="AE266">
        <f t="shared" si="216"/>
        <v>0</v>
      </c>
      <c r="AF266">
        <f t="shared" si="217"/>
        <v>0</v>
      </c>
      <c r="AG266">
        <f t="shared" si="218"/>
        <v>0</v>
      </c>
      <c r="AH266">
        <f t="shared" si="219"/>
        <v>0</v>
      </c>
      <c r="AI266">
        <f t="shared" si="220"/>
        <v>0</v>
      </c>
      <c r="AJ266">
        <f t="shared" si="221"/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93</v>
      </c>
      <c r="AU266">
        <v>62</v>
      </c>
      <c r="AV266">
        <v>1</v>
      </c>
      <c r="AW266">
        <v>1</v>
      </c>
      <c r="AZ266">
        <v>1</v>
      </c>
      <c r="BA266">
        <v>1</v>
      </c>
      <c r="BB266">
        <v>1</v>
      </c>
      <c r="BC266">
        <v>1</v>
      </c>
      <c r="BD266" t="s">
        <v>3</v>
      </c>
      <c r="BE266" t="s">
        <v>3</v>
      </c>
      <c r="BF266" t="s">
        <v>3</v>
      </c>
      <c r="BG266" t="s">
        <v>3</v>
      </c>
      <c r="BH266">
        <v>3</v>
      </c>
      <c r="BI266">
        <v>1</v>
      </c>
      <c r="BJ266" t="s">
        <v>382</v>
      </c>
      <c r="BM266">
        <v>9001</v>
      </c>
      <c r="BN266">
        <v>0</v>
      </c>
      <c r="BO266" t="s">
        <v>3</v>
      </c>
      <c r="BP266">
        <v>0</v>
      </c>
      <c r="BQ266">
        <v>2</v>
      </c>
      <c r="BR266">
        <v>0</v>
      </c>
      <c r="BS266">
        <v>1</v>
      </c>
      <c r="BT266">
        <v>1</v>
      </c>
      <c r="BU266">
        <v>1</v>
      </c>
      <c r="BV266">
        <v>1</v>
      </c>
      <c r="BW266">
        <v>1</v>
      </c>
      <c r="BX266">
        <v>1</v>
      </c>
      <c r="BY266" t="s">
        <v>3</v>
      </c>
      <c r="BZ266">
        <v>93</v>
      </c>
      <c r="CA266">
        <v>62</v>
      </c>
      <c r="CB266" t="s">
        <v>3</v>
      </c>
      <c r="CE266">
        <v>0</v>
      </c>
      <c r="CF266">
        <v>0</v>
      </c>
      <c r="CG266">
        <v>0</v>
      </c>
      <c r="CM266">
        <v>0</v>
      </c>
      <c r="CN266" t="s">
        <v>3</v>
      </c>
      <c r="CO266">
        <v>0</v>
      </c>
      <c r="CP266">
        <f t="shared" si="222"/>
        <v>0</v>
      </c>
      <c r="CQ266">
        <f t="shared" si="223"/>
        <v>0</v>
      </c>
      <c r="CR266">
        <f t="shared" si="224"/>
        <v>0</v>
      </c>
      <c r="CS266">
        <f t="shared" si="225"/>
        <v>0</v>
      </c>
      <c r="CT266">
        <f t="shared" si="226"/>
        <v>0</v>
      </c>
      <c r="CU266">
        <f t="shared" si="227"/>
        <v>0</v>
      </c>
      <c r="CV266">
        <f t="shared" si="228"/>
        <v>0</v>
      </c>
      <c r="CW266">
        <f t="shared" si="229"/>
        <v>0</v>
      </c>
      <c r="CX266">
        <f t="shared" si="230"/>
        <v>0</v>
      </c>
      <c r="CY266">
        <f>(((S266+R266)*AT266)/100)</f>
        <v>0</v>
      </c>
      <c r="CZ266">
        <f>(((S266+R266)*AU266)/100)</f>
        <v>0</v>
      </c>
      <c r="DC266" t="s">
        <v>3</v>
      </c>
      <c r="DD266" t="s">
        <v>3</v>
      </c>
      <c r="DE266" t="s">
        <v>3</v>
      </c>
      <c r="DF266" t="s">
        <v>3</v>
      </c>
      <c r="DG266" t="s">
        <v>3</v>
      </c>
      <c r="DH266" t="s">
        <v>3</v>
      </c>
      <c r="DI266" t="s">
        <v>3</v>
      </c>
      <c r="DJ266" t="s">
        <v>3</v>
      </c>
      <c r="DK266" t="s">
        <v>3</v>
      </c>
      <c r="DL266" t="s">
        <v>3</v>
      </c>
      <c r="DM266" t="s">
        <v>3</v>
      </c>
      <c r="DN266">
        <v>0</v>
      </c>
      <c r="DO266">
        <v>0</v>
      </c>
      <c r="DP266">
        <v>1</v>
      </c>
      <c r="DQ266">
        <v>1</v>
      </c>
      <c r="DU266">
        <v>1009</v>
      </c>
      <c r="DV266" t="s">
        <v>170</v>
      </c>
      <c r="DW266" t="s">
        <v>170</v>
      </c>
      <c r="DX266">
        <v>1000</v>
      </c>
      <c r="DZ266" t="s">
        <v>3</v>
      </c>
      <c r="EA266" t="s">
        <v>3</v>
      </c>
      <c r="EB266" t="s">
        <v>3</v>
      </c>
      <c r="EC266" t="s">
        <v>3</v>
      </c>
      <c r="EE266">
        <v>92109398</v>
      </c>
      <c r="EF266">
        <v>2</v>
      </c>
      <c r="EG266" t="s">
        <v>21</v>
      </c>
      <c r="EH266">
        <v>9</v>
      </c>
      <c r="EI266" t="s">
        <v>40</v>
      </c>
      <c r="EJ266">
        <v>1</v>
      </c>
      <c r="EK266">
        <v>9001</v>
      </c>
      <c r="EL266" t="s">
        <v>40</v>
      </c>
      <c r="EM266" t="s">
        <v>41</v>
      </c>
      <c r="EO266" t="s">
        <v>3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FQ266">
        <v>0</v>
      </c>
      <c r="FR266">
        <f t="shared" si="231"/>
        <v>0</v>
      </c>
      <c r="FS266">
        <v>0</v>
      </c>
      <c r="FX266">
        <v>93</v>
      </c>
      <c r="FY266">
        <v>62</v>
      </c>
      <c r="GA266" t="s">
        <v>3</v>
      </c>
      <c r="GD266">
        <v>1</v>
      </c>
      <c r="GF266">
        <v>1071627226</v>
      </c>
      <c r="GG266">
        <v>2</v>
      </c>
      <c r="GH266">
        <v>1</v>
      </c>
      <c r="GI266">
        <v>-2</v>
      </c>
      <c r="GJ266">
        <v>0</v>
      </c>
      <c r="GK266">
        <v>0</v>
      </c>
      <c r="GL266">
        <f t="shared" si="232"/>
        <v>0</v>
      </c>
      <c r="GM266">
        <f t="shared" si="233"/>
        <v>0</v>
      </c>
      <c r="GN266">
        <f t="shared" si="234"/>
        <v>0</v>
      </c>
      <c r="GO266">
        <f t="shared" si="235"/>
        <v>0</v>
      </c>
      <c r="GP266">
        <f t="shared" si="236"/>
        <v>0</v>
      </c>
      <c r="GR266">
        <v>0</v>
      </c>
      <c r="GS266">
        <v>3</v>
      </c>
      <c r="GT266">
        <v>0</v>
      </c>
      <c r="GU266" t="s">
        <v>3</v>
      </c>
      <c r="GV266">
        <f t="shared" si="237"/>
        <v>0</v>
      </c>
      <c r="GW266">
        <v>1</v>
      </c>
      <c r="GX266">
        <f t="shared" si="238"/>
        <v>0</v>
      </c>
      <c r="HA266">
        <v>0</v>
      </c>
      <c r="HB266">
        <v>0</v>
      </c>
      <c r="HC266">
        <f t="shared" si="239"/>
        <v>0</v>
      </c>
      <c r="HE266" t="s">
        <v>3</v>
      </c>
      <c r="HF266" t="s">
        <v>3</v>
      </c>
      <c r="HM266" t="s">
        <v>3</v>
      </c>
      <c r="HN266" t="s">
        <v>42</v>
      </c>
      <c r="HO266" t="s">
        <v>43</v>
      </c>
      <c r="HP266" t="s">
        <v>40</v>
      </c>
      <c r="HQ266" t="s">
        <v>40</v>
      </c>
      <c r="IK266">
        <v>0</v>
      </c>
    </row>
    <row r="267" spans="1:245" x14ac:dyDescent="0.2">
      <c r="A267">
        <v>18</v>
      </c>
      <c r="B267">
        <v>1</v>
      </c>
      <c r="C267">
        <v>219</v>
      </c>
      <c r="E267" t="s">
        <v>383</v>
      </c>
      <c r="F267" t="s">
        <v>384</v>
      </c>
      <c r="G267" t="s">
        <v>385</v>
      </c>
      <c r="H267" t="s">
        <v>170</v>
      </c>
      <c r="I267">
        <f>I264*J267</f>
        <v>7.803E-3</v>
      </c>
      <c r="J267">
        <v>5.7799999999999997E-2</v>
      </c>
      <c r="K267">
        <v>5.7799999999999997E-2</v>
      </c>
      <c r="O267">
        <f t="shared" si="202"/>
        <v>0</v>
      </c>
      <c r="P267">
        <f t="shared" si="203"/>
        <v>0</v>
      </c>
      <c r="Q267">
        <f t="shared" si="204"/>
        <v>0</v>
      </c>
      <c r="R267">
        <f t="shared" si="205"/>
        <v>0</v>
      </c>
      <c r="S267">
        <f t="shared" si="206"/>
        <v>0</v>
      </c>
      <c r="T267">
        <f t="shared" si="207"/>
        <v>0</v>
      </c>
      <c r="U267">
        <f t="shared" si="208"/>
        <v>0</v>
      </c>
      <c r="V267">
        <f t="shared" si="209"/>
        <v>0</v>
      </c>
      <c r="W267">
        <f t="shared" si="210"/>
        <v>0</v>
      </c>
      <c r="X267">
        <f t="shared" si="211"/>
        <v>0</v>
      </c>
      <c r="Y267">
        <f t="shared" si="212"/>
        <v>0</v>
      </c>
      <c r="AA267">
        <v>94798619</v>
      </c>
      <c r="AB267">
        <f t="shared" si="213"/>
        <v>0</v>
      </c>
      <c r="AC267">
        <f t="shared" si="214"/>
        <v>0</v>
      </c>
      <c r="AD267">
        <f t="shared" si="215"/>
        <v>0</v>
      </c>
      <c r="AE267">
        <f t="shared" si="216"/>
        <v>0</v>
      </c>
      <c r="AF267">
        <f t="shared" si="217"/>
        <v>0</v>
      </c>
      <c r="AG267">
        <f t="shared" si="218"/>
        <v>0</v>
      </c>
      <c r="AH267">
        <f t="shared" si="219"/>
        <v>0</v>
      </c>
      <c r="AI267">
        <f t="shared" si="220"/>
        <v>0</v>
      </c>
      <c r="AJ267">
        <f t="shared" si="221"/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93</v>
      </c>
      <c r="AU267">
        <v>62</v>
      </c>
      <c r="AV267">
        <v>1</v>
      </c>
      <c r="AW267">
        <v>1</v>
      </c>
      <c r="AZ267">
        <v>1</v>
      </c>
      <c r="BA267">
        <v>1</v>
      </c>
      <c r="BB267">
        <v>1</v>
      </c>
      <c r="BC267">
        <v>1</v>
      </c>
      <c r="BD267" t="s">
        <v>3</v>
      </c>
      <c r="BE267" t="s">
        <v>3</v>
      </c>
      <c r="BF267" t="s">
        <v>3</v>
      </c>
      <c r="BG267" t="s">
        <v>3</v>
      </c>
      <c r="BH267">
        <v>3</v>
      </c>
      <c r="BI267">
        <v>1</v>
      </c>
      <c r="BJ267" t="s">
        <v>386</v>
      </c>
      <c r="BM267">
        <v>9001</v>
      </c>
      <c r="BN267">
        <v>0</v>
      </c>
      <c r="BO267" t="s">
        <v>3</v>
      </c>
      <c r="BP267">
        <v>0</v>
      </c>
      <c r="BQ267">
        <v>2</v>
      </c>
      <c r="BR267">
        <v>0</v>
      </c>
      <c r="BS267">
        <v>1</v>
      </c>
      <c r="BT267">
        <v>1</v>
      </c>
      <c r="BU267">
        <v>1</v>
      </c>
      <c r="BV267">
        <v>1</v>
      </c>
      <c r="BW267">
        <v>1</v>
      </c>
      <c r="BX267">
        <v>1</v>
      </c>
      <c r="BY267" t="s">
        <v>3</v>
      </c>
      <c r="BZ267">
        <v>93</v>
      </c>
      <c r="CA267">
        <v>62</v>
      </c>
      <c r="CB267" t="s">
        <v>3</v>
      </c>
      <c r="CE267">
        <v>0</v>
      </c>
      <c r="CF267">
        <v>0</v>
      </c>
      <c r="CG267">
        <v>0</v>
      </c>
      <c r="CM267">
        <v>0</v>
      </c>
      <c r="CN267" t="s">
        <v>3</v>
      </c>
      <c r="CO267">
        <v>0</v>
      </c>
      <c r="CP267">
        <f t="shared" si="222"/>
        <v>0</v>
      </c>
      <c r="CQ267">
        <f t="shared" si="223"/>
        <v>0</v>
      </c>
      <c r="CR267">
        <f t="shared" si="224"/>
        <v>0</v>
      </c>
      <c r="CS267">
        <f t="shared" si="225"/>
        <v>0</v>
      </c>
      <c r="CT267">
        <f t="shared" si="226"/>
        <v>0</v>
      </c>
      <c r="CU267">
        <f t="shared" si="227"/>
        <v>0</v>
      </c>
      <c r="CV267">
        <f t="shared" si="228"/>
        <v>0</v>
      </c>
      <c r="CW267">
        <f t="shared" si="229"/>
        <v>0</v>
      </c>
      <c r="CX267">
        <f t="shared" si="230"/>
        <v>0</v>
      </c>
      <c r="CY267">
        <f>(((S267+R267)*AT267)/100)</f>
        <v>0</v>
      </c>
      <c r="CZ267">
        <f>(((S267+R267)*AU267)/100)</f>
        <v>0</v>
      </c>
      <c r="DC267" t="s">
        <v>3</v>
      </c>
      <c r="DD267" t="s">
        <v>3</v>
      </c>
      <c r="DE267" t="s">
        <v>3</v>
      </c>
      <c r="DF267" t="s">
        <v>3</v>
      </c>
      <c r="DG267" t="s">
        <v>3</v>
      </c>
      <c r="DH267" t="s">
        <v>3</v>
      </c>
      <c r="DI267" t="s">
        <v>3</v>
      </c>
      <c r="DJ267" t="s">
        <v>3</v>
      </c>
      <c r="DK267" t="s">
        <v>3</v>
      </c>
      <c r="DL267" t="s">
        <v>3</v>
      </c>
      <c r="DM267" t="s">
        <v>3</v>
      </c>
      <c r="DN267">
        <v>0</v>
      </c>
      <c r="DO267">
        <v>0</v>
      </c>
      <c r="DP267">
        <v>1</v>
      </c>
      <c r="DQ267">
        <v>1</v>
      </c>
      <c r="DU267">
        <v>1009</v>
      </c>
      <c r="DV267" t="s">
        <v>170</v>
      </c>
      <c r="DW267" t="s">
        <v>170</v>
      </c>
      <c r="DX267">
        <v>1000</v>
      </c>
      <c r="DZ267" t="s">
        <v>3</v>
      </c>
      <c r="EA267" t="s">
        <v>3</v>
      </c>
      <c r="EB267" t="s">
        <v>3</v>
      </c>
      <c r="EC267" t="s">
        <v>3</v>
      </c>
      <c r="EE267">
        <v>92109398</v>
      </c>
      <c r="EF267">
        <v>2</v>
      </c>
      <c r="EG267" t="s">
        <v>21</v>
      </c>
      <c r="EH267">
        <v>9</v>
      </c>
      <c r="EI267" t="s">
        <v>40</v>
      </c>
      <c r="EJ267">
        <v>1</v>
      </c>
      <c r="EK267">
        <v>9001</v>
      </c>
      <c r="EL267" t="s">
        <v>40</v>
      </c>
      <c r="EM267" t="s">
        <v>41</v>
      </c>
      <c r="EO267" t="s">
        <v>3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FQ267">
        <v>0</v>
      </c>
      <c r="FR267">
        <f t="shared" si="231"/>
        <v>0</v>
      </c>
      <c r="FS267">
        <v>0</v>
      </c>
      <c r="FX267">
        <v>93</v>
      </c>
      <c r="FY267">
        <v>62</v>
      </c>
      <c r="GA267" t="s">
        <v>3</v>
      </c>
      <c r="GD267">
        <v>1</v>
      </c>
      <c r="GF267">
        <v>793976102</v>
      </c>
      <c r="GG267">
        <v>2</v>
      </c>
      <c r="GH267">
        <v>1</v>
      </c>
      <c r="GI267">
        <v>-2</v>
      </c>
      <c r="GJ267">
        <v>0</v>
      </c>
      <c r="GK267">
        <v>0</v>
      </c>
      <c r="GL267">
        <f t="shared" si="232"/>
        <v>0</v>
      </c>
      <c r="GM267">
        <f t="shared" si="233"/>
        <v>0</v>
      </c>
      <c r="GN267">
        <f t="shared" si="234"/>
        <v>0</v>
      </c>
      <c r="GO267">
        <f t="shared" si="235"/>
        <v>0</v>
      </c>
      <c r="GP267">
        <f t="shared" si="236"/>
        <v>0</v>
      </c>
      <c r="GR267">
        <v>0</v>
      </c>
      <c r="GS267">
        <v>3</v>
      </c>
      <c r="GT267">
        <v>0</v>
      </c>
      <c r="GU267" t="s">
        <v>3</v>
      </c>
      <c r="GV267">
        <f t="shared" si="237"/>
        <v>0</v>
      </c>
      <c r="GW267">
        <v>1</v>
      </c>
      <c r="GX267">
        <f t="shared" si="238"/>
        <v>0</v>
      </c>
      <c r="HA267">
        <v>0</v>
      </c>
      <c r="HB267">
        <v>0</v>
      </c>
      <c r="HC267">
        <f t="shared" si="239"/>
        <v>0</v>
      </c>
      <c r="HE267" t="s">
        <v>3</v>
      </c>
      <c r="HF267" t="s">
        <v>3</v>
      </c>
      <c r="HM267" t="s">
        <v>3</v>
      </c>
      <c r="HN267" t="s">
        <v>42</v>
      </c>
      <c r="HO267" t="s">
        <v>43</v>
      </c>
      <c r="HP267" t="s">
        <v>40</v>
      </c>
      <c r="HQ267" t="s">
        <v>40</v>
      </c>
      <c r="IK267">
        <v>0</v>
      </c>
    </row>
    <row r="268" spans="1:245" x14ac:dyDescent="0.2">
      <c r="A268">
        <v>17</v>
      </c>
      <c r="B268">
        <v>1</v>
      </c>
      <c r="E268" t="s">
        <v>387</v>
      </c>
      <c r="F268" t="s">
        <v>388</v>
      </c>
      <c r="G268" t="s">
        <v>389</v>
      </c>
      <c r="H268" t="s">
        <v>201</v>
      </c>
      <c r="I268">
        <v>14.85</v>
      </c>
      <c r="J268">
        <v>0</v>
      </c>
      <c r="K268">
        <v>14.85</v>
      </c>
      <c r="O268">
        <f t="shared" si="202"/>
        <v>8758.3700000000008</v>
      </c>
      <c r="P268">
        <f t="shared" si="203"/>
        <v>8758.3700000000008</v>
      </c>
      <c r="Q268">
        <f t="shared" si="204"/>
        <v>0</v>
      </c>
      <c r="R268">
        <f t="shared" si="205"/>
        <v>0</v>
      </c>
      <c r="S268">
        <f t="shared" si="206"/>
        <v>0</v>
      </c>
      <c r="T268">
        <f t="shared" si="207"/>
        <v>0</v>
      </c>
      <c r="U268">
        <f t="shared" si="208"/>
        <v>0</v>
      </c>
      <c r="V268">
        <f t="shared" si="209"/>
        <v>0</v>
      </c>
      <c r="W268">
        <f t="shared" si="210"/>
        <v>0</v>
      </c>
      <c r="X268">
        <f t="shared" si="211"/>
        <v>0</v>
      </c>
      <c r="Y268">
        <f t="shared" si="212"/>
        <v>0</v>
      </c>
      <c r="AA268">
        <v>94798619</v>
      </c>
      <c r="AB268">
        <f t="shared" si="213"/>
        <v>58.92</v>
      </c>
      <c r="AC268">
        <f t="shared" si="214"/>
        <v>58.92</v>
      </c>
      <c r="AD268">
        <f t="shared" si="215"/>
        <v>0</v>
      </c>
      <c r="AE268">
        <f t="shared" si="216"/>
        <v>0</v>
      </c>
      <c r="AF268">
        <f t="shared" si="217"/>
        <v>0</v>
      </c>
      <c r="AG268">
        <f t="shared" si="218"/>
        <v>0</v>
      </c>
      <c r="AH268">
        <f t="shared" si="219"/>
        <v>0</v>
      </c>
      <c r="AI268">
        <f t="shared" si="220"/>
        <v>0</v>
      </c>
      <c r="AJ268">
        <f t="shared" si="221"/>
        <v>0</v>
      </c>
      <c r="AK268">
        <v>58.92</v>
      </c>
      <c r="AL268">
        <v>58.92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1</v>
      </c>
      <c r="AW268">
        <v>1</v>
      </c>
      <c r="AZ268">
        <v>1</v>
      </c>
      <c r="BA268">
        <v>1</v>
      </c>
      <c r="BB268">
        <v>1</v>
      </c>
      <c r="BC268">
        <v>10.01</v>
      </c>
      <c r="BD268" t="s">
        <v>3</v>
      </c>
      <c r="BE268" t="s">
        <v>3</v>
      </c>
      <c r="BF268" t="s">
        <v>3</v>
      </c>
      <c r="BG268" t="s">
        <v>3</v>
      </c>
      <c r="BH268">
        <v>3</v>
      </c>
      <c r="BI268">
        <v>1</v>
      </c>
      <c r="BJ268" t="s">
        <v>390</v>
      </c>
      <c r="BM268">
        <v>500001</v>
      </c>
      <c r="BN268">
        <v>0</v>
      </c>
      <c r="BO268" t="s">
        <v>388</v>
      </c>
      <c r="BP268">
        <v>1</v>
      </c>
      <c r="BQ268">
        <v>8</v>
      </c>
      <c r="BR268">
        <v>0</v>
      </c>
      <c r="BS268">
        <v>1</v>
      </c>
      <c r="BT268">
        <v>1</v>
      </c>
      <c r="BU268">
        <v>1</v>
      </c>
      <c r="BV268">
        <v>1</v>
      </c>
      <c r="BW268">
        <v>1</v>
      </c>
      <c r="BX268">
        <v>1</v>
      </c>
      <c r="BY268" t="s">
        <v>3</v>
      </c>
      <c r="BZ268">
        <v>0</v>
      </c>
      <c r="CA268">
        <v>0</v>
      </c>
      <c r="CB268" t="s">
        <v>3</v>
      </c>
      <c r="CE268">
        <v>0</v>
      </c>
      <c r="CF268">
        <v>0</v>
      </c>
      <c r="CG268">
        <v>0</v>
      </c>
      <c r="CM268">
        <v>0</v>
      </c>
      <c r="CN268" t="s">
        <v>3</v>
      </c>
      <c r="CO268">
        <v>0</v>
      </c>
      <c r="CP268">
        <f t="shared" si="222"/>
        <v>8758.3700000000008</v>
      </c>
      <c r="CQ268">
        <f t="shared" si="223"/>
        <v>589.78920000000005</v>
      </c>
      <c r="CR268">
        <f t="shared" si="224"/>
        <v>0</v>
      </c>
      <c r="CS268">
        <f t="shared" si="225"/>
        <v>0</v>
      </c>
      <c r="CT268">
        <f t="shared" si="226"/>
        <v>0</v>
      </c>
      <c r="CU268">
        <f t="shared" si="227"/>
        <v>0</v>
      </c>
      <c r="CV268">
        <f t="shared" si="228"/>
        <v>0</v>
      </c>
      <c r="CW268">
        <f t="shared" si="229"/>
        <v>0</v>
      </c>
      <c r="CX268">
        <f t="shared" si="230"/>
        <v>0</v>
      </c>
      <c r="CY268">
        <f>0</f>
        <v>0</v>
      </c>
      <c r="CZ268">
        <f>0</f>
        <v>0</v>
      </c>
      <c r="DC268" t="s">
        <v>3</v>
      </c>
      <c r="DD268" t="s">
        <v>3</v>
      </c>
      <c r="DE268" t="s">
        <v>3</v>
      </c>
      <c r="DF268" t="s">
        <v>3</v>
      </c>
      <c r="DG268" t="s">
        <v>3</v>
      </c>
      <c r="DH268" t="s">
        <v>3</v>
      </c>
      <c r="DI268" t="s">
        <v>3</v>
      </c>
      <c r="DJ268" t="s">
        <v>3</v>
      </c>
      <c r="DK268" t="s">
        <v>3</v>
      </c>
      <c r="DL268" t="s">
        <v>3</v>
      </c>
      <c r="DM268" t="s">
        <v>3</v>
      </c>
      <c r="DN268">
        <v>0</v>
      </c>
      <c r="DO268">
        <v>0</v>
      </c>
      <c r="DP268">
        <v>1</v>
      </c>
      <c r="DQ268">
        <v>1</v>
      </c>
      <c r="DU268">
        <v>1005</v>
      </c>
      <c r="DV268" t="s">
        <v>201</v>
      </c>
      <c r="DW268" t="s">
        <v>201</v>
      </c>
      <c r="DX268">
        <v>1</v>
      </c>
      <c r="DZ268" t="s">
        <v>3</v>
      </c>
      <c r="EA268" t="s">
        <v>3</v>
      </c>
      <c r="EB268" t="s">
        <v>3</v>
      </c>
      <c r="EC268" t="s">
        <v>3</v>
      </c>
      <c r="EE268">
        <v>92109332</v>
      </c>
      <c r="EF268">
        <v>8</v>
      </c>
      <c r="EG268" t="s">
        <v>154</v>
      </c>
      <c r="EH268">
        <v>0</v>
      </c>
      <c r="EI268" t="s">
        <v>3</v>
      </c>
      <c r="EJ268">
        <v>1</v>
      </c>
      <c r="EK268">
        <v>500001</v>
      </c>
      <c r="EL268" t="s">
        <v>155</v>
      </c>
      <c r="EM268" t="s">
        <v>156</v>
      </c>
      <c r="EO268" t="s">
        <v>3</v>
      </c>
      <c r="EQ268">
        <v>0</v>
      </c>
      <c r="ER268">
        <v>58.92</v>
      </c>
      <c r="ES268">
        <v>58.92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FQ268">
        <v>0</v>
      </c>
      <c r="FR268">
        <f t="shared" si="231"/>
        <v>0</v>
      </c>
      <c r="FS268">
        <v>0</v>
      </c>
      <c r="FX268">
        <v>0</v>
      </c>
      <c r="FY268">
        <v>0</v>
      </c>
      <c r="GA268" t="s">
        <v>3</v>
      </c>
      <c r="GD268">
        <v>1</v>
      </c>
      <c r="GF268">
        <v>1819256857</v>
      </c>
      <c r="GG268">
        <v>2</v>
      </c>
      <c r="GH268">
        <v>1</v>
      </c>
      <c r="GI268">
        <v>2</v>
      </c>
      <c r="GJ268">
        <v>0</v>
      </c>
      <c r="GK268">
        <v>0</v>
      </c>
      <c r="GL268">
        <f t="shared" si="232"/>
        <v>0</v>
      </c>
      <c r="GM268">
        <f t="shared" si="233"/>
        <v>8758.3700000000008</v>
      </c>
      <c r="GN268">
        <f t="shared" si="234"/>
        <v>8758.3700000000008</v>
      </c>
      <c r="GO268">
        <f t="shared" si="235"/>
        <v>0</v>
      </c>
      <c r="GP268">
        <f t="shared" si="236"/>
        <v>0</v>
      </c>
      <c r="GR268">
        <v>0</v>
      </c>
      <c r="GS268">
        <v>3</v>
      </c>
      <c r="GT268">
        <v>0</v>
      </c>
      <c r="GU268" t="s">
        <v>3</v>
      </c>
      <c r="GV268">
        <f t="shared" si="237"/>
        <v>0</v>
      </c>
      <c r="GW268">
        <v>1</v>
      </c>
      <c r="GX268">
        <f t="shared" si="238"/>
        <v>0</v>
      </c>
      <c r="HA268">
        <v>0</v>
      </c>
      <c r="HB268">
        <v>0</v>
      </c>
      <c r="HC268">
        <f t="shared" si="239"/>
        <v>0</v>
      </c>
      <c r="HE268" t="s">
        <v>3</v>
      </c>
      <c r="HF268" t="s">
        <v>3</v>
      </c>
      <c r="HM268" t="s">
        <v>3</v>
      </c>
      <c r="HN268" t="s">
        <v>3</v>
      </c>
      <c r="HO268" t="s">
        <v>3</v>
      </c>
      <c r="HP268" t="s">
        <v>3</v>
      </c>
      <c r="HQ268" t="s">
        <v>3</v>
      </c>
      <c r="IK268">
        <v>0</v>
      </c>
    </row>
    <row r="269" spans="1:245" x14ac:dyDescent="0.2">
      <c r="A269">
        <v>17</v>
      </c>
      <c r="B269">
        <v>1</v>
      </c>
      <c r="E269" t="s">
        <v>391</v>
      </c>
      <c r="F269" t="s">
        <v>392</v>
      </c>
      <c r="G269" t="s">
        <v>393</v>
      </c>
      <c r="H269" t="s">
        <v>170</v>
      </c>
      <c r="I269">
        <v>4.0000000000000001E-3</v>
      </c>
      <c r="J269">
        <v>0</v>
      </c>
      <c r="K269">
        <v>4.0000000000000001E-3</v>
      </c>
      <c r="O269">
        <f t="shared" si="202"/>
        <v>1501.27</v>
      </c>
      <c r="P269">
        <f t="shared" si="203"/>
        <v>1501.27</v>
      </c>
      <c r="Q269">
        <f t="shared" si="204"/>
        <v>0</v>
      </c>
      <c r="R269">
        <f t="shared" si="205"/>
        <v>0</v>
      </c>
      <c r="S269">
        <f t="shared" si="206"/>
        <v>0</v>
      </c>
      <c r="T269">
        <f t="shared" si="207"/>
        <v>0</v>
      </c>
      <c r="U269">
        <f t="shared" si="208"/>
        <v>0</v>
      </c>
      <c r="V269">
        <f t="shared" si="209"/>
        <v>0</v>
      </c>
      <c r="W269">
        <f t="shared" si="210"/>
        <v>0</v>
      </c>
      <c r="X269">
        <f t="shared" si="211"/>
        <v>0</v>
      </c>
      <c r="Y269">
        <f t="shared" si="212"/>
        <v>0</v>
      </c>
      <c r="AA269">
        <v>94798619</v>
      </c>
      <c r="AB269">
        <f t="shared" si="213"/>
        <v>35011</v>
      </c>
      <c r="AC269">
        <f t="shared" si="214"/>
        <v>35011</v>
      </c>
      <c r="AD269">
        <f t="shared" si="215"/>
        <v>0</v>
      </c>
      <c r="AE269">
        <f t="shared" si="216"/>
        <v>0</v>
      </c>
      <c r="AF269">
        <f t="shared" si="217"/>
        <v>0</v>
      </c>
      <c r="AG269">
        <f t="shared" si="218"/>
        <v>0</v>
      </c>
      <c r="AH269">
        <f t="shared" si="219"/>
        <v>0</v>
      </c>
      <c r="AI269">
        <f t="shared" si="220"/>
        <v>0</v>
      </c>
      <c r="AJ269">
        <f t="shared" si="221"/>
        <v>0</v>
      </c>
      <c r="AK269">
        <v>35011</v>
      </c>
      <c r="AL269">
        <v>35011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1</v>
      </c>
      <c r="AW269">
        <v>1</v>
      </c>
      <c r="AZ269">
        <v>1</v>
      </c>
      <c r="BA269">
        <v>1</v>
      </c>
      <c r="BB269">
        <v>1</v>
      </c>
      <c r="BC269">
        <v>10.72</v>
      </c>
      <c r="BD269" t="s">
        <v>3</v>
      </c>
      <c r="BE269" t="s">
        <v>3</v>
      </c>
      <c r="BF269" t="s">
        <v>3</v>
      </c>
      <c r="BG269" t="s">
        <v>3</v>
      </c>
      <c r="BH269">
        <v>3</v>
      </c>
      <c r="BI269">
        <v>1</v>
      </c>
      <c r="BJ269" t="s">
        <v>394</v>
      </c>
      <c r="BM269">
        <v>500001</v>
      </c>
      <c r="BN269">
        <v>0</v>
      </c>
      <c r="BO269" t="s">
        <v>392</v>
      </c>
      <c r="BP269">
        <v>1</v>
      </c>
      <c r="BQ269">
        <v>8</v>
      </c>
      <c r="BR269">
        <v>0</v>
      </c>
      <c r="BS269">
        <v>1</v>
      </c>
      <c r="BT269">
        <v>1</v>
      </c>
      <c r="BU269">
        <v>1</v>
      </c>
      <c r="BV269">
        <v>1</v>
      </c>
      <c r="BW269">
        <v>1</v>
      </c>
      <c r="BX269">
        <v>1</v>
      </c>
      <c r="BY269" t="s">
        <v>3</v>
      </c>
      <c r="BZ269">
        <v>0</v>
      </c>
      <c r="CA269">
        <v>0</v>
      </c>
      <c r="CB269" t="s">
        <v>3</v>
      </c>
      <c r="CE269">
        <v>0</v>
      </c>
      <c r="CF269">
        <v>0</v>
      </c>
      <c r="CG269">
        <v>0</v>
      </c>
      <c r="CM269">
        <v>0</v>
      </c>
      <c r="CN269" t="s">
        <v>3</v>
      </c>
      <c r="CO269">
        <v>0</v>
      </c>
      <c r="CP269">
        <f t="shared" si="222"/>
        <v>1501.27</v>
      </c>
      <c r="CQ269">
        <f t="shared" si="223"/>
        <v>375317.92000000004</v>
      </c>
      <c r="CR269">
        <f t="shared" si="224"/>
        <v>0</v>
      </c>
      <c r="CS269">
        <f t="shared" si="225"/>
        <v>0</v>
      </c>
      <c r="CT269">
        <f t="shared" si="226"/>
        <v>0</v>
      </c>
      <c r="CU269">
        <f t="shared" si="227"/>
        <v>0</v>
      </c>
      <c r="CV269">
        <f t="shared" si="228"/>
        <v>0</v>
      </c>
      <c r="CW269">
        <f t="shared" si="229"/>
        <v>0</v>
      </c>
      <c r="CX269">
        <f t="shared" si="230"/>
        <v>0</v>
      </c>
      <c r="CY269">
        <f>0</f>
        <v>0</v>
      </c>
      <c r="CZ269">
        <f>0</f>
        <v>0</v>
      </c>
      <c r="DC269" t="s">
        <v>3</v>
      </c>
      <c r="DD269" t="s">
        <v>3</v>
      </c>
      <c r="DE269" t="s">
        <v>3</v>
      </c>
      <c r="DF269" t="s">
        <v>3</v>
      </c>
      <c r="DG269" t="s">
        <v>3</v>
      </c>
      <c r="DH269" t="s">
        <v>3</v>
      </c>
      <c r="DI269" t="s">
        <v>3</v>
      </c>
      <c r="DJ269" t="s">
        <v>3</v>
      </c>
      <c r="DK269" t="s">
        <v>3</v>
      </c>
      <c r="DL269" t="s">
        <v>3</v>
      </c>
      <c r="DM269" t="s">
        <v>3</v>
      </c>
      <c r="DN269">
        <v>0</v>
      </c>
      <c r="DO269">
        <v>0</v>
      </c>
      <c r="DP269">
        <v>1</v>
      </c>
      <c r="DQ269">
        <v>1</v>
      </c>
      <c r="DU269">
        <v>1009</v>
      </c>
      <c r="DV269" t="s">
        <v>170</v>
      </c>
      <c r="DW269" t="s">
        <v>170</v>
      </c>
      <c r="DX269">
        <v>1000</v>
      </c>
      <c r="DZ269" t="s">
        <v>3</v>
      </c>
      <c r="EA269" t="s">
        <v>3</v>
      </c>
      <c r="EB269" t="s">
        <v>3</v>
      </c>
      <c r="EC269" t="s">
        <v>3</v>
      </c>
      <c r="EE269">
        <v>92109332</v>
      </c>
      <c r="EF269">
        <v>8</v>
      </c>
      <c r="EG269" t="s">
        <v>154</v>
      </c>
      <c r="EH269">
        <v>0</v>
      </c>
      <c r="EI269" t="s">
        <v>3</v>
      </c>
      <c r="EJ269">
        <v>1</v>
      </c>
      <c r="EK269">
        <v>500001</v>
      </c>
      <c r="EL269" t="s">
        <v>155</v>
      </c>
      <c r="EM269" t="s">
        <v>156</v>
      </c>
      <c r="EO269" t="s">
        <v>3</v>
      </c>
      <c r="EQ269">
        <v>0</v>
      </c>
      <c r="ER269">
        <v>35011</v>
      </c>
      <c r="ES269">
        <v>35011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FQ269">
        <v>0</v>
      </c>
      <c r="FR269">
        <f t="shared" si="231"/>
        <v>0</v>
      </c>
      <c r="FS269">
        <v>0</v>
      </c>
      <c r="FX269">
        <v>0</v>
      </c>
      <c r="FY269">
        <v>0</v>
      </c>
      <c r="GA269" t="s">
        <v>3</v>
      </c>
      <c r="GD269">
        <v>1</v>
      </c>
      <c r="GF269">
        <v>-1995361764</v>
      </c>
      <c r="GG269">
        <v>2</v>
      </c>
      <c r="GH269">
        <v>1</v>
      </c>
      <c r="GI269">
        <v>2</v>
      </c>
      <c r="GJ269">
        <v>0</v>
      </c>
      <c r="GK269">
        <v>0</v>
      </c>
      <c r="GL269">
        <f t="shared" si="232"/>
        <v>0</v>
      </c>
      <c r="GM269">
        <f t="shared" si="233"/>
        <v>1501.27</v>
      </c>
      <c r="GN269">
        <f t="shared" si="234"/>
        <v>1501.27</v>
      </c>
      <c r="GO269">
        <f t="shared" si="235"/>
        <v>0</v>
      </c>
      <c r="GP269">
        <f t="shared" si="236"/>
        <v>0</v>
      </c>
      <c r="GR269">
        <v>0</v>
      </c>
      <c r="GS269">
        <v>3</v>
      </c>
      <c r="GT269">
        <v>0</v>
      </c>
      <c r="GU269" t="s">
        <v>3</v>
      </c>
      <c r="GV269">
        <f t="shared" si="237"/>
        <v>0</v>
      </c>
      <c r="GW269">
        <v>1</v>
      </c>
      <c r="GX269">
        <f t="shared" si="238"/>
        <v>0</v>
      </c>
      <c r="HA269">
        <v>0</v>
      </c>
      <c r="HB269">
        <v>0</v>
      </c>
      <c r="HC269">
        <f t="shared" si="239"/>
        <v>0</v>
      </c>
      <c r="HE269" t="s">
        <v>3</v>
      </c>
      <c r="HF269" t="s">
        <v>3</v>
      </c>
      <c r="HM269" t="s">
        <v>3</v>
      </c>
      <c r="HN269" t="s">
        <v>3</v>
      </c>
      <c r="HO269" t="s">
        <v>3</v>
      </c>
      <c r="HP269" t="s">
        <v>3</v>
      </c>
      <c r="HQ269" t="s">
        <v>3</v>
      </c>
      <c r="IK269">
        <v>0</v>
      </c>
    </row>
    <row r="270" spans="1:245" x14ac:dyDescent="0.2">
      <c r="A270">
        <v>17</v>
      </c>
      <c r="B270">
        <v>1</v>
      </c>
      <c r="C270">
        <f>ROW(SmtRes!A228)</f>
        <v>228</v>
      </c>
      <c r="D270">
        <f>ROW(EtalonRes!A228)</f>
        <v>228</v>
      </c>
      <c r="E270" t="s">
        <v>3</v>
      </c>
      <c r="F270" t="s">
        <v>395</v>
      </c>
      <c r="G270" t="s">
        <v>396</v>
      </c>
      <c r="H270" t="s">
        <v>397</v>
      </c>
      <c r="I270">
        <v>0</v>
      </c>
      <c r="J270">
        <v>0</v>
      </c>
      <c r="K270">
        <v>0</v>
      </c>
      <c r="O270">
        <f t="shared" si="202"/>
        <v>0</v>
      </c>
      <c r="P270">
        <f t="shared" si="203"/>
        <v>0</v>
      </c>
      <c r="Q270">
        <f t="shared" si="204"/>
        <v>0</v>
      </c>
      <c r="R270">
        <f t="shared" si="205"/>
        <v>0</v>
      </c>
      <c r="S270">
        <f t="shared" si="206"/>
        <v>0</v>
      </c>
      <c r="T270">
        <f t="shared" si="207"/>
        <v>0</v>
      </c>
      <c r="U270">
        <f t="shared" si="208"/>
        <v>0</v>
      </c>
      <c r="V270">
        <f t="shared" si="209"/>
        <v>0</v>
      </c>
      <c r="W270">
        <f t="shared" si="210"/>
        <v>0</v>
      </c>
      <c r="X270">
        <f t="shared" si="211"/>
        <v>0</v>
      </c>
      <c r="Y270">
        <f t="shared" si="212"/>
        <v>0</v>
      </c>
      <c r="AA270">
        <v>-1</v>
      </c>
      <c r="AB270">
        <f t="shared" si="213"/>
        <v>265.77999999999997</v>
      </c>
      <c r="AC270">
        <f t="shared" si="214"/>
        <v>202.72</v>
      </c>
      <c r="AD270">
        <f t="shared" si="215"/>
        <v>10.23</v>
      </c>
      <c r="AE270">
        <f t="shared" si="216"/>
        <v>0.09</v>
      </c>
      <c r="AF270">
        <f t="shared" si="217"/>
        <v>52.83</v>
      </c>
      <c r="AG270">
        <f t="shared" si="218"/>
        <v>0</v>
      </c>
      <c r="AH270">
        <f t="shared" si="219"/>
        <v>5.31</v>
      </c>
      <c r="AI270">
        <f t="shared" si="220"/>
        <v>0.01</v>
      </c>
      <c r="AJ270">
        <f t="shared" si="221"/>
        <v>0</v>
      </c>
      <c r="AK270">
        <v>265.77999999999997</v>
      </c>
      <c r="AL270">
        <v>202.72</v>
      </c>
      <c r="AM270">
        <v>10.23</v>
      </c>
      <c r="AN270">
        <v>0.09</v>
      </c>
      <c r="AO270">
        <v>52.83</v>
      </c>
      <c r="AP270">
        <v>0</v>
      </c>
      <c r="AQ270">
        <v>5.31</v>
      </c>
      <c r="AR270">
        <v>0.01</v>
      </c>
      <c r="AS270">
        <v>0</v>
      </c>
      <c r="AT270">
        <v>94</v>
      </c>
      <c r="AU270">
        <v>51</v>
      </c>
      <c r="AV270">
        <v>1</v>
      </c>
      <c r="AW270">
        <v>1</v>
      </c>
      <c r="AZ270">
        <v>1</v>
      </c>
      <c r="BA270">
        <v>35.270000000000003</v>
      </c>
      <c r="BB270">
        <v>8.2799999999999994</v>
      </c>
      <c r="BC270">
        <v>5.8</v>
      </c>
      <c r="BD270" t="s">
        <v>3</v>
      </c>
      <c r="BE270" t="s">
        <v>3</v>
      </c>
      <c r="BF270" t="s">
        <v>3</v>
      </c>
      <c r="BG270" t="s">
        <v>3</v>
      </c>
      <c r="BH270">
        <v>0</v>
      </c>
      <c r="BI270">
        <v>1</v>
      </c>
      <c r="BJ270" t="s">
        <v>398</v>
      </c>
      <c r="BM270">
        <v>13001</v>
      </c>
      <c r="BN270">
        <v>0</v>
      </c>
      <c r="BO270" t="s">
        <v>395</v>
      </c>
      <c r="BP270">
        <v>1</v>
      </c>
      <c r="BQ270">
        <v>2</v>
      </c>
      <c r="BR270">
        <v>0</v>
      </c>
      <c r="BS270">
        <v>35.270000000000003</v>
      </c>
      <c r="BT270">
        <v>1</v>
      </c>
      <c r="BU270">
        <v>1</v>
      </c>
      <c r="BV270">
        <v>1</v>
      </c>
      <c r="BW270">
        <v>1</v>
      </c>
      <c r="BX270">
        <v>1</v>
      </c>
      <c r="BY270" t="s">
        <v>3</v>
      </c>
      <c r="BZ270">
        <v>94</v>
      </c>
      <c r="CA270">
        <v>51</v>
      </c>
      <c r="CB270" t="s">
        <v>3</v>
      </c>
      <c r="CE270">
        <v>0</v>
      </c>
      <c r="CF270">
        <v>0</v>
      </c>
      <c r="CG270">
        <v>0</v>
      </c>
      <c r="CM270">
        <v>0</v>
      </c>
      <c r="CN270" t="s">
        <v>3</v>
      </c>
      <c r="CO270">
        <v>0</v>
      </c>
      <c r="CP270">
        <f t="shared" si="222"/>
        <v>0</v>
      </c>
      <c r="CQ270">
        <f t="shared" si="223"/>
        <v>1175.7760000000001</v>
      </c>
      <c r="CR270">
        <f t="shared" si="224"/>
        <v>84.704399999999993</v>
      </c>
      <c r="CS270">
        <f t="shared" si="225"/>
        <v>3.1743000000000001</v>
      </c>
      <c r="CT270">
        <f t="shared" si="226"/>
        <v>1863.3141000000001</v>
      </c>
      <c r="CU270">
        <f t="shared" si="227"/>
        <v>0</v>
      </c>
      <c r="CV270">
        <f t="shared" si="228"/>
        <v>5.31</v>
      </c>
      <c r="CW270">
        <f t="shared" si="229"/>
        <v>0.01</v>
      </c>
      <c r="CX270">
        <f t="shared" si="230"/>
        <v>0</v>
      </c>
      <c r="CY270">
        <f>(((S270+R270)*AT270)/100)</f>
        <v>0</v>
      </c>
      <c r="CZ270">
        <f>(((S270+R270)*AU270)/100)</f>
        <v>0</v>
      </c>
      <c r="DC270" t="s">
        <v>3</v>
      </c>
      <c r="DD270" t="s">
        <v>3</v>
      </c>
      <c r="DE270" t="s">
        <v>3</v>
      </c>
      <c r="DF270" t="s">
        <v>3</v>
      </c>
      <c r="DG270" t="s">
        <v>3</v>
      </c>
      <c r="DH270" t="s">
        <v>3</v>
      </c>
      <c r="DI270" t="s">
        <v>3</v>
      </c>
      <c r="DJ270" t="s">
        <v>3</v>
      </c>
      <c r="DK270" t="s">
        <v>3</v>
      </c>
      <c r="DL270" t="s">
        <v>3</v>
      </c>
      <c r="DM270" t="s">
        <v>3</v>
      </c>
      <c r="DN270">
        <v>0</v>
      </c>
      <c r="DO270">
        <v>0</v>
      </c>
      <c r="DP270">
        <v>1</v>
      </c>
      <c r="DQ270">
        <v>1</v>
      </c>
      <c r="DU270">
        <v>1005</v>
      </c>
      <c r="DV270" t="s">
        <v>397</v>
      </c>
      <c r="DW270" t="s">
        <v>397</v>
      </c>
      <c r="DX270">
        <v>100</v>
      </c>
      <c r="DZ270" t="s">
        <v>3</v>
      </c>
      <c r="EA270" t="s">
        <v>3</v>
      </c>
      <c r="EB270" t="s">
        <v>3</v>
      </c>
      <c r="EC270" t="s">
        <v>3</v>
      </c>
      <c r="EE270">
        <v>92109402</v>
      </c>
      <c r="EF270">
        <v>2</v>
      </c>
      <c r="EG270" t="s">
        <v>21</v>
      </c>
      <c r="EH270">
        <v>13</v>
      </c>
      <c r="EI270" t="s">
        <v>399</v>
      </c>
      <c r="EJ270">
        <v>1</v>
      </c>
      <c r="EK270">
        <v>13001</v>
      </c>
      <c r="EL270" t="s">
        <v>400</v>
      </c>
      <c r="EM270" t="s">
        <v>401</v>
      </c>
      <c r="EO270" t="s">
        <v>3</v>
      </c>
      <c r="EQ270">
        <v>1024</v>
      </c>
      <c r="ER270">
        <v>265.77999999999997</v>
      </c>
      <c r="ES270">
        <v>202.72</v>
      </c>
      <c r="ET270">
        <v>10.23</v>
      </c>
      <c r="EU270">
        <v>0.09</v>
      </c>
      <c r="EV270">
        <v>52.83</v>
      </c>
      <c r="EW270">
        <v>5.31</v>
      </c>
      <c r="EX270">
        <v>0.01</v>
      </c>
      <c r="EY270">
        <v>0</v>
      </c>
      <c r="FQ270">
        <v>0</v>
      </c>
      <c r="FR270">
        <f t="shared" si="231"/>
        <v>0</v>
      </c>
      <c r="FS270">
        <v>0</v>
      </c>
      <c r="FX270">
        <v>94</v>
      </c>
      <c r="FY270">
        <v>51</v>
      </c>
      <c r="GA270" t="s">
        <v>3</v>
      </c>
      <c r="GD270">
        <v>1</v>
      </c>
      <c r="GF270">
        <v>-383464861</v>
      </c>
      <c r="GG270">
        <v>2</v>
      </c>
      <c r="GH270">
        <v>1</v>
      </c>
      <c r="GI270">
        <v>2</v>
      </c>
      <c r="GJ270">
        <v>0</v>
      </c>
      <c r="GK270">
        <v>0</v>
      </c>
      <c r="GL270">
        <f t="shared" si="232"/>
        <v>0</v>
      </c>
      <c r="GM270">
        <f t="shared" si="233"/>
        <v>0</v>
      </c>
      <c r="GN270">
        <f t="shared" si="234"/>
        <v>0</v>
      </c>
      <c r="GO270">
        <f t="shared" si="235"/>
        <v>0</v>
      </c>
      <c r="GP270">
        <f t="shared" si="236"/>
        <v>0</v>
      </c>
      <c r="GR270">
        <v>0</v>
      </c>
      <c r="GS270">
        <v>3</v>
      </c>
      <c r="GT270">
        <v>0</v>
      </c>
      <c r="GU270" t="s">
        <v>3</v>
      </c>
      <c r="GV270">
        <f t="shared" si="237"/>
        <v>0</v>
      </c>
      <c r="GW270">
        <v>1</v>
      </c>
      <c r="GX270">
        <f t="shared" si="238"/>
        <v>0</v>
      </c>
      <c r="HA270">
        <v>0</v>
      </c>
      <c r="HB270">
        <v>0</v>
      </c>
      <c r="HC270">
        <f t="shared" si="239"/>
        <v>0</v>
      </c>
      <c r="HE270" t="s">
        <v>3</v>
      </c>
      <c r="HF270" t="s">
        <v>3</v>
      </c>
      <c r="HM270" t="s">
        <v>3</v>
      </c>
      <c r="HN270" t="s">
        <v>402</v>
      </c>
      <c r="HO270" t="s">
        <v>403</v>
      </c>
      <c r="HP270" t="s">
        <v>399</v>
      </c>
      <c r="HQ270" t="s">
        <v>399</v>
      </c>
      <c r="IK270">
        <v>0</v>
      </c>
    </row>
    <row r="271" spans="1:245" x14ac:dyDescent="0.2">
      <c r="A271">
        <v>17</v>
      </c>
      <c r="B271">
        <v>1</v>
      </c>
      <c r="E271" t="s">
        <v>404</v>
      </c>
      <c r="F271" t="s">
        <v>405</v>
      </c>
      <c r="G271" t="s">
        <v>406</v>
      </c>
      <c r="H271" t="s">
        <v>47</v>
      </c>
      <c r="I271">
        <v>3</v>
      </c>
      <c r="J271">
        <v>0</v>
      </c>
      <c r="K271">
        <v>3</v>
      </c>
      <c r="O271">
        <f t="shared" si="202"/>
        <v>50862.78</v>
      </c>
      <c r="P271">
        <f t="shared" si="203"/>
        <v>50862.78</v>
      </c>
      <c r="Q271">
        <f t="shared" si="204"/>
        <v>0</v>
      </c>
      <c r="R271">
        <f t="shared" si="205"/>
        <v>0</v>
      </c>
      <c r="S271">
        <f t="shared" si="206"/>
        <v>0</v>
      </c>
      <c r="T271">
        <f t="shared" si="207"/>
        <v>0</v>
      </c>
      <c r="U271">
        <f t="shared" si="208"/>
        <v>0</v>
      </c>
      <c r="V271">
        <f t="shared" si="209"/>
        <v>0</v>
      </c>
      <c r="W271">
        <f t="shared" si="210"/>
        <v>0</v>
      </c>
      <c r="X271">
        <f t="shared" si="211"/>
        <v>0</v>
      </c>
      <c r="Y271">
        <f t="shared" si="212"/>
        <v>0</v>
      </c>
      <c r="AA271">
        <v>94798619</v>
      </c>
      <c r="AB271">
        <f t="shared" si="213"/>
        <v>2825.71</v>
      </c>
      <c r="AC271">
        <f t="shared" si="214"/>
        <v>2825.71</v>
      </c>
      <c r="AD271">
        <f t="shared" si="215"/>
        <v>0</v>
      </c>
      <c r="AE271">
        <f t="shared" si="216"/>
        <v>0</v>
      </c>
      <c r="AF271">
        <f t="shared" si="217"/>
        <v>0</v>
      </c>
      <c r="AG271">
        <f t="shared" si="218"/>
        <v>0</v>
      </c>
      <c r="AH271">
        <f t="shared" si="219"/>
        <v>0</v>
      </c>
      <c r="AI271">
        <f t="shared" si="220"/>
        <v>0</v>
      </c>
      <c r="AJ271">
        <f t="shared" si="221"/>
        <v>0</v>
      </c>
      <c r="AK271">
        <v>2825.71</v>
      </c>
      <c r="AL271">
        <v>2825.71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1</v>
      </c>
      <c r="AW271">
        <v>1</v>
      </c>
      <c r="AZ271">
        <v>1</v>
      </c>
      <c r="BA271">
        <v>1</v>
      </c>
      <c r="BB271">
        <v>1</v>
      </c>
      <c r="BC271">
        <v>6</v>
      </c>
      <c r="BD271" t="s">
        <v>3</v>
      </c>
      <c r="BE271" t="s">
        <v>3</v>
      </c>
      <c r="BF271" t="s">
        <v>3</v>
      </c>
      <c r="BG271" t="s">
        <v>3</v>
      </c>
      <c r="BH271">
        <v>3</v>
      </c>
      <c r="BI271">
        <v>1</v>
      </c>
      <c r="BJ271" t="s">
        <v>407</v>
      </c>
      <c r="BM271">
        <v>500001</v>
      </c>
      <c r="BN271">
        <v>0</v>
      </c>
      <c r="BO271" t="s">
        <v>405</v>
      </c>
      <c r="BP271">
        <v>1</v>
      </c>
      <c r="BQ271">
        <v>8</v>
      </c>
      <c r="BR271">
        <v>0</v>
      </c>
      <c r="BS271">
        <v>1</v>
      </c>
      <c r="BT271">
        <v>1</v>
      </c>
      <c r="BU271">
        <v>1</v>
      </c>
      <c r="BV271">
        <v>1</v>
      </c>
      <c r="BW271">
        <v>1</v>
      </c>
      <c r="BX271">
        <v>1</v>
      </c>
      <c r="BY271" t="s">
        <v>3</v>
      </c>
      <c r="BZ271">
        <v>0</v>
      </c>
      <c r="CA271">
        <v>0</v>
      </c>
      <c r="CB271" t="s">
        <v>3</v>
      </c>
      <c r="CE271">
        <v>0</v>
      </c>
      <c r="CF271">
        <v>0</v>
      </c>
      <c r="CG271">
        <v>0</v>
      </c>
      <c r="CM271">
        <v>0</v>
      </c>
      <c r="CN271" t="s">
        <v>3</v>
      </c>
      <c r="CO271">
        <v>0</v>
      </c>
      <c r="CP271">
        <f t="shared" si="222"/>
        <v>50862.78</v>
      </c>
      <c r="CQ271">
        <f t="shared" si="223"/>
        <v>16954.260000000002</v>
      </c>
      <c r="CR271">
        <f t="shared" si="224"/>
        <v>0</v>
      </c>
      <c r="CS271">
        <f t="shared" si="225"/>
        <v>0</v>
      </c>
      <c r="CT271">
        <f t="shared" si="226"/>
        <v>0</v>
      </c>
      <c r="CU271">
        <f t="shared" si="227"/>
        <v>0</v>
      </c>
      <c r="CV271">
        <f t="shared" si="228"/>
        <v>0</v>
      </c>
      <c r="CW271">
        <f t="shared" si="229"/>
        <v>0</v>
      </c>
      <c r="CX271">
        <f t="shared" si="230"/>
        <v>0</v>
      </c>
      <c r="CY271">
        <f>0</f>
        <v>0</v>
      </c>
      <c r="CZ271">
        <f>0</f>
        <v>0</v>
      </c>
      <c r="DC271" t="s">
        <v>3</v>
      </c>
      <c r="DD271" t="s">
        <v>3</v>
      </c>
      <c r="DE271" t="s">
        <v>3</v>
      </c>
      <c r="DF271" t="s">
        <v>3</v>
      </c>
      <c r="DG271" t="s">
        <v>3</v>
      </c>
      <c r="DH271" t="s">
        <v>3</v>
      </c>
      <c r="DI271" t="s">
        <v>3</v>
      </c>
      <c r="DJ271" t="s">
        <v>3</v>
      </c>
      <c r="DK271" t="s">
        <v>3</v>
      </c>
      <c r="DL271" t="s">
        <v>3</v>
      </c>
      <c r="DM271" t="s">
        <v>3</v>
      </c>
      <c r="DN271">
        <v>0</v>
      </c>
      <c r="DO271">
        <v>0</v>
      </c>
      <c r="DP271">
        <v>1</v>
      </c>
      <c r="DQ271">
        <v>1</v>
      </c>
      <c r="DU271">
        <v>1010</v>
      </c>
      <c r="DV271" t="s">
        <v>47</v>
      </c>
      <c r="DW271" t="s">
        <v>47</v>
      </c>
      <c r="DX271">
        <v>1</v>
      </c>
      <c r="DZ271" t="s">
        <v>3</v>
      </c>
      <c r="EA271" t="s">
        <v>3</v>
      </c>
      <c r="EB271" t="s">
        <v>3</v>
      </c>
      <c r="EC271" t="s">
        <v>3</v>
      </c>
      <c r="EE271">
        <v>92109332</v>
      </c>
      <c r="EF271">
        <v>8</v>
      </c>
      <c r="EG271" t="s">
        <v>154</v>
      </c>
      <c r="EH271">
        <v>0</v>
      </c>
      <c r="EI271" t="s">
        <v>3</v>
      </c>
      <c r="EJ271">
        <v>1</v>
      </c>
      <c r="EK271">
        <v>500001</v>
      </c>
      <c r="EL271" t="s">
        <v>155</v>
      </c>
      <c r="EM271" t="s">
        <v>156</v>
      </c>
      <c r="EO271" t="s">
        <v>3</v>
      </c>
      <c r="EQ271">
        <v>0</v>
      </c>
      <c r="ER271">
        <v>2825.71</v>
      </c>
      <c r="ES271">
        <v>2825.71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FQ271">
        <v>0</v>
      </c>
      <c r="FR271">
        <f t="shared" si="231"/>
        <v>0</v>
      </c>
      <c r="FS271">
        <v>0</v>
      </c>
      <c r="FX271">
        <v>0</v>
      </c>
      <c r="FY271">
        <v>0</v>
      </c>
      <c r="GA271" t="s">
        <v>3</v>
      </c>
      <c r="GD271">
        <v>1</v>
      </c>
      <c r="GF271">
        <v>634479423</v>
      </c>
      <c r="GG271">
        <v>2</v>
      </c>
      <c r="GH271">
        <v>1</v>
      </c>
      <c r="GI271">
        <v>2</v>
      </c>
      <c r="GJ271">
        <v>0</v>
      </c>
      <c r="GK271">
        <v>0</v>
      </c>
      <c r="GL271">
        <f t="shared" si="232"/>
        <v>0</v>
      </c>
      <c r="GM271">
        <f t="shared" si="233"/>
        <v>50862.78</v>
      </c>
      <c r="GN271">
        <f t="shared" si="234"/>
        <v>50862.78</v>
      </c>
      <c r="GO271">
        <f t="shared" si="235"/>
        <v>0</v>
      </c>
      <c r="GP271">
        <f t="shared" si="236"/>
        <v>0</v>
      </c>
      <c r="GR271">
        <v>0</v>
      </c>
      <c r="GS271">
        <v>3</v>
      </c>
      <c r="GT271">
        <v>0</v>
      </c>
      <c r="GU271" t="s">
        <v>3</v>
      </c>
      <c r="GV271">
        <f t="shared" si="237"/>
        <v>0</v>
      </c>
      <c r="GW271">
        <v>1</v>
      </c>
      <c r="GX271">
        <f t="shared" si="238"/>
        <v>0</v>
      </c>
      <c r="HA271">
        <v>0</v>
      </c>
      <c r="HB271">
        <v>0</v>
      </c>
      <c r="HC271">
        <f t="shared" si="239"/>
        <v>0</v>
      </c>
      <c r="HE271" t="s">
        <v>3</v>
      </c>
      <c r="HF271" t="s">
        <v>3</v>
      </c>
      <c r="HM271" t="s">
        <v>3</v>
      </c>
      <c r="HN271" t="s">
        <v>3</v>
      </c>
      <c r="HO271" t="s">
        <v>3</v>
      </c>
      <c r="HP271" t="s">
        <v>3</v>
      </c>
      <c r="HQ271" t="s">
        <v>3</v>
      </c>
      <c r="IK271">
        <v>0</v>
      </c>
    </row>
    <row r="273" spans="1:206" x14ac:dyDescent="0.2">
      <c r="A273" s="2">
        <v>51</v>
      </c>
      <c r="B273" s="2">
        <f>B243</f>
        <v>1</v>
      </c>
      <c r="C273" s="2">
        <f>A243</f>
        <v>4</v>
      </c>
      <c r="D273" s="2">
        <f>ROW(A243)</f>
        <v>243</v>
      </c>
      <c r="E273" s="2"/>
      <c r="F273" s="2" t="str">
        <f>IF(F243&lt;&gt;"",F243,"")</f>
        <v>Новый раздел</v>
      </c>
      <c r="G273" s="2" t="str">
        <f>IF(G243&lt;&gt;"",G243,"")</f>
        <v>Площадка под ТКО</v>
      </c>
      <c r="H273" s="2">
        <v>0</v>
      </c>
      <c r="I273" s="2"/>
      <c r="J273" s="2"/>
      <c r="K273" s="2"/>
      <c r="L273" s="2"/>
      <c r="M273" s="2"/>
      <c r="N273" s="2"/>
      <c r="O273" s="2">
        <f t="shared" ref="O273:T273" si="240">ROUND(AB273,2)</f>
        <v>114264.06</v>
      </c>
      <c r="P273" s="2">
        <f t="shared" si="240"/>
        <v>98331.15</v>
      </c>
      <c r="Q273" s="2">
        <f t="shared" si="240"/>
        <v>7442.92</v>
      </c>
      <c r="R273" s="2">
        <f t="shared" si="240"/>
        <v>1987.83</v>
      </c>
      <c r="S273" s="2">
        <f t="shared" si="240"/>
        <v>8489.99</v>
      </c>
      <c r="T273" s="2">
        <f t="shared" si="240"/>
        <v>0</v>
      </c>
      <c r="U273" s="2">
        <f>AH273</f>
        <v>30.111540000000002</v>
      </c>
      <c r="V273" s="2">
        <f>AI273</f>
        <v>4.9041870000000003</v>
      </c>
      <c r="W273" s="2">
        <f>ROUND(AJ273,2)</f>
        <v>0</v>
      </c>
      <c r="X273" s="2">
        <f>ROUND(AK273,2)</f>
        <v>9943.0499999999993</v>
      </c>
      <c r="Y273" s="2">
        <f>ROUND(AL273,2)</f>
        <v>6322.37</v>
      </c>
      <c r="Z273" s="2"/>
      <c r="AA273" s="2"/>
      <c r="AB273" s="2">
        <f>ROUND(SUMIF(AA247:AA271,"=94798619",O247:O271),2)</f>
        <v>114264.06</v>
      </c>
      <c r="AC273" s="2">
        <f>ROUND(SUMIF(AA247:AA271,"=94798619",P247:P271),2)</f>
        <v>98331.15</v>
      </c>
      <c r="AD273" s="2">
        <f>ROUND(SUMIF(AA247:AA271,"=94798619",Q247:Q271),2)</f>
        <v>7442.92</v>
      </c>
      <c r="AE273" s="2">
        <f>ROUND(SUMIF(AA247:AA271,"=94798619",R247:R271),2)</f>
        <v>1987.83</v>
      </c>
      <c r="AF273" s="2">
        <f>ROUND(SUMIF(AA247:AA271,"=94798619",S247:S271),2)</f>
        <v>8489.99</v>
      </c>
      <c r="AG273" s="2">
        <f>ROUND(SUMIF(AA247:AA271,"=94798619",T247:T271),2)</f>
        <v>0</v>
      </c>
      <c r="AH273" s="2">
        <f>SUMIF(AA247:AA271,"=94798619",U247:U271)</f>
        <v>30.111540000000002</v>
      </c>
      <c r="AI273" s="2">
        <f>SUMIF(AA247:AA271,"=94798619",V247:V271)</f>
        <v>4.9041870000000003</v>
      </c>
      <c r="AJ273" s="2">
        <f>ROUND(SUMIF(AA247:AA271,"=94798619",W247:W271),2)</f>
        <v>0</v>
      </c>
      <c r="AK273" s="2">
        <f>ROUND(SUMIF(AA247:AA271,"=94798619",X247:X271),2)</f>
        <v>9943.0499999999993</v>
      </c>
      <c r="AL273" s="2">
        <f>ROUND(SUMIF(AA247:AA271,"=94798619",Y247:Y271),2)</f>
        <v>6322.37</v>
      </c>
      <c r="AM273" s="2"/>
      <c r="AN273" s="2"/>
      <c r="AO273" s="2">
        <f t="shared" ref="AO273:BD273" si="241">ROUND(BX273,2)</f>
        <v>0</v>
      </c>
      <c r="AP273" s="2">
        <f t="shared" si="241"/>
        <v>0</v>
      </c>
      <c r="AQ273" s="2">
        <f t="shared" si="241"/>
        <v>0</v>
      </c>
      <c r="AR273" s="2">
        <f t="shared" si="241"/>
        <v>130529.48</v>
      </c>
      <c r="AS273" s="2">
        <f t="shared" si="241"/>
        <v>130529.48</v>
      </c>
      <c r="AT273" s="2">
        <f t="shared" si="241"/>
        <v>0</v>
      </c>
      <c r="AU273" s="2">
        <f t="shared" si="241"/>
        <v>0</v>
      </c>
      <c r="AV273" s="2">
        <f t="shared" si="241"/>
        <v>98331.15</v>
      </c>
      <c r="AW273" s="2">
        <f t="shared" si="241"/>
        <v>98331.15</v>
      </c>
      <c r="AX273" s="2">
        <f t="shared" si="241"/>
        <v>0</v>
      </c>
      <c r="AY273" s="2">
        <f t="shared" si="241"/>
        <v>98331.15</v>
      </c>
      <c r="AZ273" s="2">
        <f t="shared" si="241"/>
        <v>0</v>
      </c>
      <c r="BA273" s="2">
        <f t="shared" si="241"/>
        <v>0</v>
      </c>
      <c r="BB273" s="2">
        <f t="shared" si="241"/>
        <v>0</v>
      </c>
      <c r="BC273" s="2">
        <f t="shared" si="241"/>
        <v>0</v>
      </c>
      <c r="BD273" s="2">
        <f t="shared" si="241"/>
        <v>467.16</v>
      </c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>
        <f>ROUND(SUMIF(AA247:AA271,"=94798619",FQ247:FQ271),2)</f>
        <v>0</v>
      </c>
      <c r="BY273" s="2">
        <f>ROUND(SUMIF(AA247:AA271,"=94798619",FR247:FR271),2)</f>
        <v>0</v>
      </c>
      <c r="BZ273" s="2">
        <f>ROUND(SUMIF(AA247:AA271,"=94798619",GL247:GL271),2)</f>
        <v>0</v>
      </c>
      <c r="CA273" s="2">
        <f>ROUND(SUMIF(AA247:AA271,"=94798619",GM247:GM271),2)</f>
        <v>130529.48</v>
      </c>
      <c r="CB273" s="2">
        <f>ROUND(SUMIF(AA247:AA271,"=94798619",GN247:GN271),2)</f>
        <v>130529.48</v>
      </c>
      <c r="CC273" s="2">
        <f>ROUND(SUMIF(AA247:AA271,"=94798619",GO247:GO271),2)</f>
        <v>0</v>
      </c>
      <c r="CD273" s="2">
        <f>ROUND(SUMIF(AA247:AA271,"=94798619",GP247:GP271),2)</f>
        <v>0</v>
      </c>
      <c r="CE273" s="2">
        <f>AC273-BX273</f>
        <v>98331.15</v>
      </c>
      <c r="CF273" s="2">
        <f>AC273-BY273</f>
        <v>98331.15</v>
      </c>
      <c r="CG273" s="2">
        <f>BX273-BZ273</f>
        <v>0</v>
      </c>
      <c r="CH273" s="2">
        <f>AC273-BX273-BY273+BZ273</f>
        <v>98331.15</v>
      </c>
      <c r="CI273" s="2">
        <f>BY273-BZ273</f>
        <v>0</v>
      </c>
      <c r="CJ273" s="2">
        <f>ROUND(SUMIF(AA247:AA271,"=94798619",GX247:GX271),2)</f>
        <v>0</v>
      </c>
      <c r="CK273" s="2">
        <f>ROUND(SUMIF(AA247:AA271,"=94798619",GY247:GY271),2)</f>
        <v>0</v>
      </c>
      <c r="CL273" s="2">
        <f>ROUND(SUMIF(AA247:AA271,"=94798619",GZ247:GZ271),2)</f>
        <v>0</v>
      </c>
      <c r="CM273" s="2">
        <f>ROUND(SUMIF(AA247:AA271,"=94798619",HD247:HD271),2)</f>
        <v>467.16</v>
      </c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>
        <v>0</v>
      </c>
    </row>
    <row r="275" spans="1:206" x14ac:dyDescent="0.2">
      <c r="A275" s="4">
        <v>50</v>
      </c>
      <c r="B275" s="4">
        <v>0</v>
      </c>
      <c r="C275" s="4">
        <v>0</v>
      </c>
      <c r="D275" s="4">
        <v>1</v>
      </c>
      <c r="E275" s="4">
        <v>201</v>
      </c>
      <c r="F275" s="4">
        <f>ROUND(Source!O273,O275)</f>
        <v>114264.06</v>
      </c>
      <c r="G275" s="4" t="s">
        <v>82</v>
      </c>
      <c r="H275" s="4" t="s">
        <v>83</v>
      </c>
      <c r="I275" s="4"/>
      <c r="J275" s="4"/>
      <c r="K275" s="4">
        <v>201</v>
      </c>
      <c r="L275" s="4">
        <v>1</v>
      </c>
      <c r="M275" s="4">
        <v>3</v>
      </c>
      <c r="N275" s="4" t="s">
        <v>3</v>
      </c>
      <c r="O275" s="4">
        <v>2</v>
      </c>
      <c r="P275" s="4"/>
      <c r="Q275" s="4"/>
      <c r="R275" s="4"/>
      <c r="S275" s="4"/>
      <c r="T275" s="4"/>
      <c r="U275" s="4"/>
      <c r="V275" s="4"/>
      <c r="W275" s="4">
        <v>114264.06</v>
      </c>
      <c r="X275" s="4">
        <v>1</v>
      </c>
      <c r="Y275" s="4">
        <v>114264.06</v>
      </c>
      <c r="Z275" s="4"/>
      <c r="AA275" s="4"/>
      <c r="AB275" s="4"/>
    </row>
    <row r="276" spans="1:206" x14ac:dyDescent="0.2">
      <c r="A276" s="4">
        <v>50</v>
      </c>
      <c r="B276" s="4">
        <v>0</v>
      </c>
      <c r="C276" s="4">
        <v>0</v>
      </c>
      <c r="D276" s="4">
        <v>1</v>
      </c>
      <c r="E276" s="4">
        <v>202</v>
      </c>
      <c r="F276" s="4">
        <f>ROUND(Source!P273,O276)</f>
        <v>98331.15</v>
      </c>
      <c r="G276" s="4" t="s">
        <v>84</v>
      </c>
      <c r="H276" s="4" t="s">
        <v>85</v>
      </c>
      <c r="I276" s="4"/>
      <c r="J276" s="4"/>
      <c r="K276" s="4">
        <v>202</v>
      </c>
      <c r="L276" s="4">
        <v>2</v>
      </c>
      <c r="M276" s="4">
        <v>3</v>
      </c>
      <c r="N276" s="4" t="s">
        <v>3</v>
      </c>
      <c r="O276" s="4">
        <v>2</v>
      </c>
      <c r="P276" s="4"/>
      <c r="Q276" s="4"/>
      <c r="R276" s="4"/>
      <c r="S276" s="4"/>
      <c r="T276" s="4"/>
      <c r="U276" s="4"/>
      <c r="V276" s="4"/>
      <c r="W276" s="4">
        <v>98331.15</v>
      </c>
      <c r="X276" s="4">
        <v>1</v>
      </c>
      <c r="Y276" s="4">
        <v>98331.15</v>
      </c>
      <c r="Z276" s="4"/>
      <c r="AA276" s="4"/>
      <c r="AB276" s="4"/>
    </row>
    <row r="277" spans="1:206" x14ac:dyDescent="0.2">
      <c r="A277" s="4">
        <v>50</v>
      </c>
      <c r="B277" s="4">
        <v>0</v>
      </c>
      <c r="C277" s="4">
        <v>0</v>
      </c>
      <c r="D277" s="4">
        <v>1</v>
      </c>
      <c r="E277" s="4">
        <v>222</v>
      </c>
      <c r="F277" s="4">
        <f>ROUND(Source!AO273,O277)</f>
        <v>0</v>
      </c>
      <c r="G277" s="4" t="s">
        <v>86</v>
      </c>
      <c r="H277" s="4" t="s">
        <v>87</v>
      </c>
      <c r="I277" s="4"/>
      <c r="J277" s="4"/>
      <c r="K277" s="4">
        <v>222</v>
      </c>
      <c r="L277" s="4">
        <v>3</v>
      </c>
      <c r="M277" s="4">
        <v>3</v>
      </c>
      <c r="N277" s="4" t="s">
        <v>3</v>
      </c>
      <c r="O277" s="4">
        <v>2</v>
      </c>
      <c r="P277" s="4"/>
      <c r="Q277" s="4"/>
      <c r="R277" s="4"/>
      <c r="S277" s="4"/>
      <c r="T277" s="4"/>
      <c r="U277" s="4"/>
      <c r="V277" s="4"/>
      <c r="W277" s="4">
        <v>0</v>
      </c>
      <c r="X277" s="4">
        <v>1</v>
      </c>
      <c r="Y277" s="4">
        <v>0</v>
      </c>
      <c r="Z277" s="4"/>
      <c r="AA277" s="4"/>
      <c r="AB277" s="4"/>
    </row>
    <row r="278" spans="1:206" x14ac:dyDescent="0.2">
      <c r="A278" s="4">
        <v>50</v>
      </c>
      <c r="B278" s="4">
        <v>0</v>
      </c>
      <c r="C278" s="4">
        <v>0</v>
      </c>
      <c r="D278" s="4">
        <v>1</v>
      </c>
      <c r="E278" s="4">
        <v>225</v>
      </c>
      <c r="F278" s="4">
        <f>ROUND(Source!AV273,O278)</f>
        <v>98331.15</v>
      </c>
      <c r="G278" s="4" t="s">
        <v>88</v>
      </c>
      <c r="H278" s="4" t="s">
        <v>89</v>
      </c>
      <c r="I278" s="4"/>
      <c r="J278" s="4"/>
      <c r="K278" s="4">
        <v>225</v>
      </c>
      <c r="L278" s="4">
        <v>4</v>
      </c>
      <c r="M278" s="4">
        <v>3</v>
      </c>
      <c r="N278" s="4" t="s">
        <v>3</v>
      </c>
      <c r="O278" s="4">
        <v>2</v>
      </c>
      <c r="P278" s="4"/>
      <c r="Q278" s="4"/>
      <c r="R278" s="4"/>
      <c r="S278" s="4"/>
      <c r="T278" s="4"/>
      <c r="U278" s="4"/>
      <c r="V278" s="4"/>
      <c r="W278" s="4">
        <v>98331.15</v>
      </c>
      <c r="X278" s="4">
        <v>1</v>
      </c>
      <c r="Y278" s="4">
        <v>98331.15</v>
      </c>
      <c r="Z278" s="4"/>
      <c r="AA278" s="4"/>
      <c r="AB278" s="4"/>
    </row>
    <row r="279" spans="1:206" x14ac:dyDescent="0.2">
      <c r="A279" s="4">
        <v>50</v>
      </c>
      <c r="B279" s="4">
        <v>0</v>
      </c>
      <c r="C279" s="4">
        <v>0</v>
      </c>
      <c r="D279" s="4">
        <v>1</v>
      </c>
      <c r="E279" s="4">
        <v>226</v>
      </c>
      <c r="F279" s="4">
        <f>ROUND(Source!AW273,O279)</f>
        <v>98331.15</v>
      </c>
      <c r="G279" s="4" t="s">
        <v>90</v>
      </c>
      <c r="H279" s="4" t="s">
        <v>91</v>
      </c>
      <c r="I279" s="4"/>
      <c r="J279" s="4"/>
      <c r="K279" s="4">
        <v>226</v>
      </c>
      <c r="L279" s="4">
        <v>5</v>
      </c>
      <c r="M279" s="4">
        <v>3</v>
      </c>
      <c r="N279" s="4" t="s">
        <v>3</v>
      </c>
      <c r="O279" s="4">
        <v>2</v>
      </c>
      <c r="P279" s="4"/>
      <c r="Q279" s="4"/>
      <c r="R279" s="4"/>
      <c r="S279" s="4"/>
      <c r="T279" s="4"/>
      <c r="U279" s="4"/>
      <c r="V279" s="4"/>
      <c r="W279" s="4">
        <v>98331.15</v>
      </c>
      <c r="X279" s="4">
        <v>1</v>
      </c>
      <c r="Y279" s="4">
        <v>98331.15</v>
      </c>
      <c r="Z279" s="4"/>
      <c r="AA279" s="4"/>
      <c r="AB279" s="4"/>
    </row>
    <row r="280" spans="1:206" x14ac:dyDescent="0.2">
      <c r="A280" s="4">
        <v>50</v>
      </c>
      <c r="B280" s="4">
        <v>0</v>
      </c>
      <c r="C280" s="4">
        <v>0</v>
      </c>
      <c r="D280" s="4">
        <v>1</v>
      </c>
      <c r="E280" s="4">
        <v>227</v>
      </c>
      <c r="F280" s="4">
        <f>ROUND(Source!AX273,O280)</f>
        <v>0</v>
      </c>
      <c r="G280" s="4" t="s">
        <v>92</v>
      </c>
      <c r="H280" s="4" t="s">
        <v>93</v>
      </c>
      <c r="I280" s="4"/>
      <c r="J280" s="4"/>
      <c r="K280" s="4">
        <v>227</v>
      </c>
      <c r="L280" s="4">
        <v>6</v>
      </c>
      <c r="M280" s="4">
        <v>3</v>
      </c>
      <c r="N280" s="4" t="s">
        <v>3</v>
      </c>
      <c r="O280" s="4">
        <v>2</v>
      </c>
      <c r="P280" s="4"/>
      <c r="Q280" s="4"/>
      <c r="R280" s="4"/>
      <c r="S280" s="4"/>
      <c r="T280" s="4"/>
      <c r="U280" s="4"/>
      <c r="V280" s="4"/>
      <c r="W280" s="4">
        <v>0</v>
      </c>
      <c r="X280" s="4">
        <v>1</v>
      </c>
      <c r="Y280" s="4">
        <v>0</v>
      </c>
      <c r="Z280" s="4"/>
      <c r="AA280" s="4"/>
      <c r="AB280" s="4"/>
    </row>
    <row r="281" spans="1:206" x14ac:dyDescent="0.2">
      <c r="A281" s="4">
        <v>50</v>
      </c>
      <c r="B281" s="4">
        <v>0</v>
      </c>
      <c r="C281" s="4">
        <v>0</v>
      </c>
      <c r="D281" s="4">
        <v>1</v>
      </c>
      <c r="E281" s="4">
        <v>228</v>
      </c>
      <c r="F281" s="4">
        <f>ROUND(Source!AY273,O281)</f>
        <v>98331.15</v>
      </c>
      <c r="G281" s="4" t="s">
        <v>94</v>
      </c>
      <c r="H281" s="4" t="s">
        <v>95</v>
      </c>
      <c r="I281" s="4"/>
      <c r="J281" s="4"/>
      <c r="K281" s="4">
        <v>228</v>
      </c>
      <c r="L281" s="4">
        <v>7</v>
      </c>
      <c r="M281" s="4">
        <v>3</v>
      </c>
      <c r="N281" s="4" t="s">
        <v>3</v>
      </c>
      <c r="O281" s="4">
        <v>2</v>
      </c>
      <c r="P281" s="4"/>
      <c r="Q281" s="4"/>
      <c r="R281" s="4"/>
      <c r="S281" s="4"/>
      <c r="T281" s="4"/>
      <c r="U281" s="4"/>
      <c r="V281" s="4"/>
      <c r="W281" s="4">
        <v>98331.15</v>
      </c>
      <c r="X281" s="4">
        <v>1</v>
      </c>
      <c r="Y281" s="4">
        <v>98331.15</v>
      </c>
      <c r="Z281" s="4"/>
      <c r="AA281" s="4"/>
      <c r="AB281" s="4"/>
    </row>
    <row r="282" spans="1:206" x14ac:dyDescent="0.2">
      <c r="A282" s="4">
        <v>50</v>
      </c>
      <c r="B282" s="4">
        <v>0</v>
      </c>
      <c r="C282" s="4">
        <v>0</v>
      </c>
      <c r="D282" s="4">
        <v>1</v>
      </c>
      <c r="E282" s="4">
        <v>216</v>
      </c>
      <c r="F282" s="4">
        <f>ROUND(Source!AP273,O282)</f>
        <v>0</v>
      </c>
      <c r="G282" s="4" t="s">
        <v>96</v>
      </c>
      <c r="H282" s="4" t="s">
        <v>97</v>
      </c>
      <c r="I282" s="4"/>
      <c r="J282" s="4"/>
      <c r="K282" s="4">
        <v>216</v>
      </c>
      <c r="L282" s="4">
        <v>8</v>
      </c>
      <c r="M282" s="4">
        <v>3</v>
      </c>
      <c r="N282" s="4" t="s">
        <v>3</v>
      </c>
      <c r="O282" s="4">
        <v>2</v>
      </c>
      <c r="P282" s="4"/>
      <c r="Q282" s="4"/>
      <c r="R282" s="4"/>
      <c r="S282" s="4"/>
      <c r="T282" s="4"/>
      <c r="U282" s="4"/>
      <c r="V282" s="4"/>
      <c r="W282" s="4">
        <v>0</v>
      </c>
      <c r="X282" s="4">
        <v>1</v>
      </c>
      <c r="Y282" s="4">
        <v>0</v>
      </c>
      <c r="Z282" s="4"/>
      <c r="AA282" s="4"/>
      <c r="AB282" s="4"/>
    </row>
    <row r="283" spans="1:206" x14ac:dyDescent="0.2">
      <c r="A283" s="4">
        <v>50</v>
      </c>
      <c r="B283" s="4">
        <v>0</v>
      </c>
      <c r="C283" s="4">
        <v>0</v>
      </c>
      <c r="D283" s="4">
        <v>1</v>
      </c>
      <c r="E283" s="4">
        <v>223</v>
      </c>
      <c r="F283" s="4">
        <f>ROUND(Source!AQ273,O283)</f>
        <v>0</v>
      </c>
      <c r="G283" s="4" t="s">
        <v>98</v>
      </c>
      <c r="H283" s="4" t="s">
        <v>99</v>
      </c>
      <c r="I283" s="4"/>
      <c r="J283" s="4"/>
      <c r="K283" s="4">
        <v>223</v>
      </c>
      <c r="L283" s="4">
        <v>9</v>
      </c>
      <c r="M283" s="4">
        <v>3</v>
      </c>
      <c r="N283" s="4" t="s">
        <v>3</v>
      </c>
      <c r="O283" s="4">
        <v>2</v>
      </c>
      <c r="P283" s="4"/>
      <c r="Q283" s="4"/>
      <c r="R283" s="4"/>
      <c r="S283" s="4"/>
      <c r="T283" s="4"/>
      <c r="U283" s="4"/>
      <c r="V283" s="4"/>
      <c r="W283" s="4">
        <v>0</v>
      </c>
      <c r="X283" s="4">
        <v>1</v>
      </c>
      <c r="Y283" s="4">
        <v>0</v>
      </c>
      <c r="Z283" s="4"/>
      <c r="AA283" s="4"/>
      <c r="AB283" s="4"/>
    </row>
    <row r="284" spans="1:206" x14ac:dyDescent="0.2">
      <c r="A284" s="4">
        <v>50</v>
      </c>
      <c r="B284" s="4">
        <v>0</v>
      </c>
      <c r="C284" s="4">
        <v>0</v>
      </c>
      <c r="D284" s="4">
        <v>1</v>
      </c>
      <c r="E284" s="4">
        <v>229</v>
      </c>
      <c r="F284" s="4">
        <f>ROUND(Source!AZ273,O284)</f>
        <v>0</v>
      </c>
      <c r="G284" s="4" t="s">
        <v>100</v>
      </c>
      <c r="H284" s="4" t="s">
        <v>101</v>
      </c>
      <c r="I284" s="4"/>
      <c r="J284" s="4"/>
      <c r="K284" s="4">
        <v>229</v>
      </c>
      <c r="L284" s="4">
        <v>10</v>
      </c>
      <c r="M284" s="4">
        <v>3</v>
      </c>
      <c r="N284" s="4" t="s">
        <v>3</v>
      </c>
      <c r="O284" s="4">
        <v>2</v>
      </c>
      <c r="P284" s="4"/>
      <c r="Q284" s="4"/>
      <c r="R284" s="4"/>
      <c r="S284" s="4"/>
      <c r="T284" s="4"/>
      <c r="U284" s="4"/>
      <c r="V284" s="4"/>
      <c r="W284" s="4">
        <v>0</v>
      </c>
      <c r="X284" s="4">
        <v>1</v>
      </c>
      <c r="Y284" s="4">
        <v>0</v>
      </c>
      <c r="Z284" s="4"/>
      <c r="AA284" s="4"/>
      <c r="AB284" s="4"/>
    </row>
    <row r="285" spans="1:206" x14ac:dyDescent="0.2">
      <c r="A285" s="4">
        <v>50</v>
      </c>
      <c r="B285" s="4">
        <v>0</v>
      </c>
      <c r="C285" s="4">
        <v>0</v>
      </c>
      <c r="D285" s="4">
        <v>1</v>
      </c>
      <c r="E285" s="4">
        <v>203</v>
      </c>
      <c r="F285" s="4">
        <f>ROUND(Source!Q273,O285)</f>
        <v>7442.92</v>
      </c>
      <c r="G285" s="4" t="s">
        <v>102</v>
      </c>
      <c r="H285" s="4" t="s">
        <v>103</v>
      </c>
      <c r="I285" s="4"/>
      <c r="J285" s="4"/>
      <c r="K285" s="4">
        <v>203</v>
      </c>
      <c r="L285" s="4">
        <v>11</v>
      </c>
      <c r="M285" s="4">
        <v>3</v>
      </c>
      <c r="N285" s="4" t="s">
        <v>3</v>
      </c>
      <c r="O285" s="4">
        <v>2</v>
      </c>
      <c r="P285" s="4"/>
      <c r="Q285" s="4"/>
      <c r="R285" s="4"/>
      <c r="S285" s="4"/>
      <c r="T285" s="4"/>
      <c r="U285" s="4"/>
      <c r="V285" s="4"/>
      <c r="W285" s="4">
        <v>7442.92</v>
      </c>
      <c r="X285" s="4">
        <v>1</v>
      </c>
      <c r="Y285" s="4">
        <v>7442.92</v>
      </c>
      <c r="Z285" s="4"/>
      <c r="AA285" s="4"/>
      <c r="AB285" s="4"/>
    </row>
    <row r="286" spans="1:206" x14ac:dyDescent="0.2">
      <c r="A286" s="4">
        <v>50</v>
      </c>
      <c r="B286" s="4">
        <v>0</v>
      </c>
      <c r="C286" s="4">
        <v>0</v>
      </c>
      <c r="D286" s="4">
        <v>1</v>
      </c>
      <c r="E286" s="4">
        <v>231</v>
      </c>
      <c r="F286" s="4">
        <f>ROUND(Source!BB273,O286)</f>
        <v>0</v>
      </c>
      <c r="G286" s="4" t="s">
        <v>104</v>
      </c>
      <c r="H286" s="4" t="s">
        <v>105</v>
      </c>
      <c r="I286" s="4"/>
      <c r="J286" s="4"/>
      <c r="K286" s="4">
        <v>231</v>
      </c>
      <c r="L286" s="4">
        <v>12</v>
      </c>
      <c r="M286" s="4">
        <v>3</v>
      </c>
      <c r="N286" s="4" t="s">
        <v>3</v>
      </c>
      <c r="O286" s="4">
        <v>2</v>
      </c>
      <c r="P286" s="4"/>
      <c r="Q286" s="4"/>
      <c r="R286" s="4"/>
      <c r="S286" s="4"/>
      <c r="T286" s="4"/>
      <c r="U286" s="4"/>
      <c r="V286" s="4"/>
      <c r="W286" s="4">
        <v>0</v>
      </c>
      <c r="X286" s="4">
        <v>1</v>
      </c>
      <c r="Y286" s="4">
        <v>0</v>
      </c>
      <c r="Z286" s="4"/>
      <c r="AA286" s="4"/>
      <c r="AB286" s="4"/>
    </row>
    <row r="287" spans="1:206" x14ac:dyDescent="0.2">
      <c r="A287" s="4">
        <v>50</v>
      </c>
      <c r="B287" s="4">
        <v>0</v>
      </c>
      <c r="C287" s="4">
        <v>0</v>
      </c>
      <c r="D287" s="4">
        <v>1</v>
      </c>
      <c r="E287" s="4">
        <v>204</v>
      </c>
      <c r="F287" s="4">
        <f>ROUND(Source!R273,O287)</f>
        <v>1987.83</v>
      </c>
      <c r="G287" s="4" t="s">
        <v>106</v>
      </c>
      <c r="H287" s="4" t="s">
        <v>107</v>
      </c>
      <c r="I287" s="4"/>
      <c r="J287" s="4"/>
      <c r="K287" s="4">
        <v>204</v>
      </c>
      <c r="L287" s="4">
        <v>13</v>
      </c>
      <c r="M287" s="4">
        <v>3</v>
      </c>
      <c r="N287" s="4" t="s">
        <v>3</v>
      </c>
      <c r="O287" s="4">
        <v>2</v>
      </c>
      <c r="P287" s="4"/>
      <c r="Q287" s="4"/>
      <c r="R287" s="4"/>
      <c r="S287" s="4"/>
      <c r="T287" s="4"/>
      <c r="U287" s="4"/>
      <c r="V287" s="4"/>
      <c r="W287" s="4">
        <v>1987.83</v>
      </c>
      <c r="X287" s="4">
        <v>1</v>
      </c>
      <c r="Y287" s="4">
        <v>1987.83</v>
      </c>
      <c r="Z287" s="4"/>
      <c r="AA287" s="4"/>
      <c r="AB287" s="4"/>
    </row>
    <row r="288" spans="1:206" x14ac:dyDescent="0.2">
      <c r="A288" s="4">
        <v>50</v>
      </c>
      <c r="B288" s="4">
        <v>0</v>
      </c>
      <c r="C288" s="4">
        <v>0</v>
      </c>
      <c r="D288" s="4">
        <v>1</v>
      </c>
      <c r="E288" s="4">
        <v>205</v>
      </c>
      <c r="F288" s="4">
        <f>ROUND(Source!S273,O288)</f>
        <v>8489.99</v>
      </c>
      <c r="G288" s="4" t="s">
        <v>108</v>
      </c>
      <c r="H288" s="4" t="s">
        <v>109</v>
      </c>
      <c r="I288" s="4"/>
      <c r="J288" s="4"/>
      <c r="K288" s="4">
        <v>205</v>
      </c>
      <c r="L288" s="4">
        <v>14</v>
      </c>
      <c r="M288" s="4">
        <v>3</v>
      </c>
      <c r="N288" s="4" t="s">
        <v>3</v>
      </c>
      <c r="O288" s="4">
        <v>2</v>
      </c>
      <c r="P288" s="4"/>
      <c r="Q288" s="4"/>
      <c r="R288" s="4"/>
      <c r="S288" s="4"/>
      <c r="T288" s="4"/>
      <c r="U288" s="4"/>
      <c r="V288" s="4"/>
      <c r="W288" s="4">
        <v>8489.99</v>
      </c>
      <c r="X288" s="4">
        <v>1</v>
      </c>
      <c r="Y288" s="4">
        <v>8489.99</v>
      </c>
      <c r="Z288" s="4"/>
      <c r="AA288" s="4"/>
      <c r="AB288" s="4"/>
    </row>
    <row r="289" spans="1:28" x14ac:dyDescent="0.2">
      <c r="A289" s="4">
        <v>50</v>
      </c>
      <c r="B289" s="4">
        <v>0</v>
      </c>
      <c r="C289" s="4">
        <v>0</v>
      </c>
      <c r="D289" s="4">
        <v>1</v>
      </c>
      <c r="E289" s="4">
        <v>232</v>
      </c>
      <c r="F289" s="4">
        <f>ROUND(Source!BC273,O289)</f>
        <v>0</v>
      </c>
      <c r="G289" s="4" t="s">
        <v>110</v>
      </c>
      <c r="H289" s="4" t="s">
        <v>111</v>
      </c>
      <c r="I289" s="4"/>
      <c r="J289" s="4"/>
      <c r="K289" s="4">
        <v>232</v>
      </c>
      <c r="L289" s="4">
        <v>15</v>
      </c>
      <c r="M289" s="4">
        <v>3</v>
      </c>
      <c r="N289" s="4" t="s">
        <v>3</v>
      </c>
      <c r="O289" s="4">
        <v>2</v>
      </c>
      <c r="P289" s="4"/>
      <c r="Q289" s="4"/>
      <c r="R289" s="4"/>
      <c r="S289" s="4"/>
      <c r="T289" s="4"/>
      <c r="U289" s="4"/>
      <c r="V289" s="4"/>
      <c r="W289" s="4">
        <v>0</v>
      </c>
      <c r="X289" s="4">
        <v>1</v>
      </c>
      <c r="Y289" s="4">
        <v>0</v>
      </c>
      <c r="Z289" s="4"/>
      <c r="AA289" s="4"/>
      <c r="AB289" s="4"/>
    </row>
    <row r="290" spans="1:28" x14ac:dyDescent="0.2">
      <c r="A290" s="4">
        <v>50</v>
      </c>
      <c r="B290" s="4">
        <v>0</v>
      </c>
      <c r="C290" s="4">
        <v>0</v>
      </c>
      <c r="D290" s="4">
        <v>1</v>
      </c>
      <c r="E290" s="4">
        <v>214</v>
      </c>
      <c r="F290" s="4">
        <f>ROUND(Source!AS273,O290)</f>
        <v>130529.48</v>
      </c>
      <c r="G290" s="4" t="s">
        <v>112</v>
      </c>
      <c r="H290" s="4" t="s">
        <v>113</v>
      </c>
      <c r="I290" s="4"/>
      <c r="J290" s="4"/>
      <c r="K290" s="4">
        <v>214</v>
      </c>
      <c r="L290" s="4">
        <v>16</v>
      </c>
      <c r="M290" s="4">
        <v>3</v>
      </c>
      <c r="N290" s="4" t="s">
        <v>3</v>
      </c>
      <c r="O290" s="4">
        <v>2</v>
      </c>
      <c r="P290" s="4"/>
      <c r="Q290" s="4"/>
      <c r="R290" s="4"/>
      <c r="S290" s="4"/>
      <c r="T290" s="4"/>
      <c r="U290" s="4"/>
      <c r="V290" s="4"/>
      <c r="W290" s="4">
        <v>130529.48</v>
      </c>
      <c r="X290" s="4">
        <v>1</v>
      </c>
      <c r="Y290" s="4">
        <v>130529.48</v>
      </c>
      <c r="Z290" s="4"/>
      <c r="AA290" s="4"/>
      <c r="AB290" s="4"/>
    </row>
    <row r="291" spans="1:28" x14ac:dyDescent="0.2">
      <c r="A291" s="4">
        <v>50</v>
      </c>
      <c r="B291" s="4">
        <v>0</v>
      </c>
      <c r="C291" s="4">
        <v>0</v>
      </c>
      <c r="D291" s="4">
        <v>1</v>
      </c>
      <c r="E291" s="4">
        <v>215</v>
      </c>
      <c r="F291" s="4">
        <f>ROUND(Source!AT273,O291)</f>
        <v>0</v>
      </c>
      <c r="G291" s="4" t="s">
        <v>114</v>
      </c>
      <c r="H291" s="4" t="s">
        <v>115</v>
      </c>
      <c r="I291" s="4"/>
      <c r="J291" s="4"/>
      <c r="K291" s="4">
        <v>215</v>
      </c>
      <c r="L291" s="4">
        <v>17</v>
      </c>
      <c r="M291" s="4">
        <v>3</v>
      </c>
      <c r="N291" s="4" t="s">
        <v>3</v>
      </c>
      <c r="O291" s="4">
        <v>2</v>
      </c>
      <c r="P291" s="4"/>
      <c r="Q291" s="4"/>
      <c r="R291" s="4"/>
      <c r="S291" s="4"/>
      <c r="T291" s="4"/>
      <c r="U291" s="4"/>
      <c r="V291" s="4"/>
      <c r="W291" s="4">
        <v>0</v>
      </c>
      <c r="X291" s="4">
        <v>1</v>
      </c>
      <c r="Y291" s="4">
        <v>0</v>
      </c>
      <c r="Z291" s="4"/>
      <c r="AA291" s="4"/>
      <c r="AB291" s="4"/>
    </row>
    <row r="292" spans="1:28" x14ac:dyDescent="0.2">
      <c r="A292" s="4">
        <v>50</v>
      </c>
      <c r="B292" s="4">
        <v>0</v>
      </c>
      <c r="C292" s="4">
        <v>0</v>
      </c>
      <c r="D292" s="4">
        <v>1</v>
      </c>
      <c r="E292" s="4">
        <v>217</v>
      </c>
      <c r="F292" s="4">
        <f>ROUND(Source!AU273,O292)</f>
        <v>0</v>
      </c>
      <c r="G292" s="4" t="s">
        <v>116</v>
      </c>
      <c r="H292" s="4" t="s">
        <v>117</v>
      </c>
      <c r="I292" s="4"/>
      <c r="J292" s="4"/>
      <c r="K292" s="4">
        <v>217</v>
      </c>
      <c r="L292" s="4">
        <v>18</v>
      </c>
      <c r="M292" s="4">
        <v>3</v>
      </c>
      <c r="N292" s="4" t="s">
        <v>3</v>
      </c>
      <c r="O292" s="4">
        <v>2</v>
      </c>
      <c r="P292" s="4"/>
      <c r="Q292" s="4"/>
      <c r="R292" s="4"/>
      <c r="S292" s="4"/>
      <c r="T292" s="4"/>
      <c r="U292" s="4"/>
      <c r="V292" s="4"/>
      <c r="W292" s="4">
        <v>0</v>
      </c>
      <c r="X292" s="4">
        <v>1</v>
      </c>
      <c r="Y292" s="4">
        <v>0</v>
      </c>
      <c r="Z292" s="4"/>
      <c r="AA292" s="4"/>
      <c r="AB292" s="4"/>
    </row>
    <row r="293" spans="1:28" x14ac:dyDescent="0.2">
      <c r="A293" s="4">
        <v>50</v>
      </c>
      <c r="B293" s="4">
        <v>0</v>
      </c>
      <c r="C293" s="4">
        <v>0</v>
      </c>
      <c r="D293" s="4">
        <v>1</v>
      </c>
      <c r="E293" s="4">
        <v>230</v>
      </c>
      <c r="F293" s="4">
        <f>ROUND(Source!BA273,O293)</f>
        <v>0</v>
      </c>
      <c r="G293" s="4" t="s">
        <v>118</v>
      </c>
      <c r="H293" s="4" t="s">
        <v>119</v>
      </c>
      <c r="I293" s="4"/>
      <c r="J293" s="4"/>
      <c r="K293" s="4">
        <v>230</v>
      </c>
      <c r="L293" s="4">
        <v>19</v>
      </c>
      <c r="M293" s="4">
        <v>3</v>
      </c>
      <c r="N293" s="4" t="s">
        <v>3</v>
      </c>
      <c r="O293" s="4">
        <v>2</v>
      </c>
      <c r="P293" s="4"/>
      <c r="Q293" s="4"/>
      <c r="R293" s="4"/>
      <c r="S293" s="4"/>
      <c r="T293" s="4"/>
      <c r="U293" s="4"/>
      <c r="V293" s="4"/>
      <c r="W293" s="4">
        <v>0</v>
      </c>
      <c r="X293" s="4">
        <v>1</v>
      </c>
      <c r="Y293" s="4">
        <v>0</v>
      </c>
      <c r="Z293" s="4"/>
      <c r="AA293" s="4"/>
      <c r="AB293" s="4"/>
    </row>
    <row r="294" spans="1:28" x14ac:dyDescent="0.2">
      <c r="A294" s="4">
        <v>50</v>
      </c>
      <c r="B294" s="4">
        <v>0</v>
      </c>
      <c r="C294" s="4">
        <v>0</v>
      </c>
      <c r="D294" s="4">
        <v>1</v>
      </c>
      <c r="E294" s="4">
        <v>206</v>
      </c>
      <c r="F294" s="4">
        <f>ROUND(Source!T273,O294)</f>
        <v>0</v>
      </c>
      <c r="G294" s="4" t="s">
        <v>120</v>
      </c>
      <c r="H294" s="4" t="s">
        <v>121</v>
      </c>
      <c r="I294" s="4"/>
      <c r="J294" s="4"/>
      <c r="K294" s="4">
        <v>206</v>
      </c>
      <c r="L294" s="4">
        <v>20</v>
      </c>
      <c r="M294" s="4">
        <v>3</v>
      </c>
      <c r="N294" s="4" t="s">
        <v>3</v>
      </c>
      <c r="O294" s="4">
        <v>2</v>
      </c>
      <c r="P294" s="4"/>
      <c r="Q294" s="4"/>
      <c r="R294" s="4"/>
      <c r="S294" s="4"/>
      <c r="T294" s="4"/>
      <c r="U294" s="4"/>
      <c r="V294" s="4"/>
      <c r="W294" s="4">
        <v>0</v>
      </c>
      <c r="X294" s="4">
        <v>1</v>
      </c>
      <c r="Y294" s="4">
        <v>0</v>
      </c>
      <c r="Z294" s="4"/>
      <c r="AA294" s="4"/>
      <c r="AB294" s="4"/>
    </row>
    <row r="295" spans="1:28" x14ac:dyDescent="0.2">
      <c r="A295" s="4">
        <v>50</v>
      </c>
      <c r="B295" s="4">
        <v>0</v>
      </c>
      <c r="C295" s="4">
        <v>0</v>
      </c>
      <c r="D295" s="4">
        <v>1</v>
      </c>
      <c r="E295" s="4">
        <v>207</v>
      </c>
      <c r="F295" s="4">
        <f>Source!U273</f>
        <v>30.111540000000002</v>
      </c>
      <c r="G295" s="4" t="s">
        <v>122</v>
      </c>
      <c r="H295" s="4" t="s">
        <v>123</v>
      </c>
      <c r="I295" s="4"/>
      <c r="J295" s="4"/>
      <c r="K295" s="4">
        <v>207</v>
      </c>
      <c r="L295" s="4">
        <v>21</v>
      </c>
      <c r="M295" s="4">
        <v>3</v>
      </c>
      <c r="N295" s="4" t="s">
        <v>3</v>
      </c>
      <c r="O295" s="4">
        <v>-1</v>
      </c>
      <c r="P295" s="4"/>
      <c r="Q295" s="4"/>
      <c r="R295" s="4"/>
      <c r="S295" s="4"/>
      <c r="T295" s="4"/>
      <c r="U295" s="4"/>
      <c r="V295" s="4"/>
      <c r="W295" s="4">
        <v>30.111539999999998</v>
      </c>
      <c r="X295" s="4">
        <v>1</v>
      </c>
      <c r="Y295" s="4">
        <v>30.111539999999998</v>
      </c>
      <c r="Z295" s="4"/>
      <c r="AA295" s="4"/>
      <c r="AB295" s="4"/>
    </row>
    <row r="296" spans="1:28" x14ac:dyDescent="0.2">
      <c r="A296" s="4">
        <v>50</v>
      </c>
      <c r="B296" s="4">
        <v>0</v>
      </c>
      <c r="C296" s="4">
        <v>0</v>
      </c>
      <c r="D296" s="4">
        <v>1</v>
      </c>
      <c r="E296" s="4">
        <v>208</v>
      </c>
      <c r="F296" s="4">
        <f>Source!V273</f>
        <v>4.9041870000000003</v>
      </c>
      <c r="G296" s="4" t="s">
        <v>124</v>
      </c>
      <c r="H296" s="4" t="s">
        <v>125</v>
      </c>
      <c r="I296" s="4"/>
      <c r="J296" s="4"/>
      <c r="K296" s="4">
        <v>208</v>
      </c>
      <c r="L296" s="4">
        <v>22</v>
      </c>
      <c r="M296" s="4">
        <v>3</v>
      </c>
      <c r="N296" s="4" t="s">
        <v>3</v>
      </c>
      <c r="O296" s="4">
        <v>-1</v>
      </c>
      <c r="P296" s="4"/>
      <c r="Q296" s="4"/>
      <c r="R296" s="4"/>
      <c r="S296" s="4"/>
      <c r="T296" s="4"/>
      <c r="U296" s="4"/>
      <c r="V296" s="4"/>
      <c r="W296" s="4">
        <v>4.9041870000000003</v>
      </c>
      <c r="X296" s="4">
        <v>1</v>
      </c>
      <c r="Y296" s="4">
        <v>4.9041870000000003</v>
      </c>
      <c r="Z296" s="4"/>
      <c r="AA296" s="4"/>
      <c r="AB296" s="4"/>
    </row>
    <row r="297" spans="1:28" x14ac:dyDescent="0.2">
      <c r="A297" s="4">
        <v>50</v>
      </c>
      <c r="B297" s="4">
        <v>0</v>
      </c>
      <c r="C297" s="4">
        <v>0</v>
      </c>
      <c r="D297" s="4">
        <v>1</v>
      </c>
      <c r="E297" s="4">
        <v>209</v>
      </c>
      <c r="F297" s="4">
        <f>ROUND(Source!W273,O297)</f>
        <v>0</v>
      </c>
      <c r="G297" s="4" t="s">
        <v>126</v>
      </c>
      <c r="H297" s="4" t="s">
        <v>127</v>
      </c>
      <c r="I297" s="4"/>
      <c r="J297" s="4"/>
      <c r="K297" s="4">
        <v>209</v>
      </c>
      <c r="L297" s="4">
        <v>23</v>
      </c>
      <c r="M297" s="4">
        <v>3</v>
      </c>
      <c r="N297" s="4" t="s">
        <v>3</v>
      </c>
      <c r="O297" s="4">
        <v>2</v>
      </c>
      <c r="P297" s="4"/>
      <c r="Q297" s="4"/>
      <c r="R297" s="4"/>
      <c r="S297" s="4"/>
      <c r="T297" s="4"/>
      <c r="U297" s="4"/>
      <c r="V297" s="4"/>
      <c r="W297" s="4">
        <v>0</v>
      </c>
      <c r="X297" s="4">
        <v>1</v>
      </c>
      <c r="Y297" s="4">
        <v>0</v>
      </c>
      <c r="Z297" s="4"/>
      <c r="AA297" s="4"/>
      <c r="AB297" s="4"/>
    </row>
    <row r="298" spans="1:28" x14ac:dyDescent="0.2">
      <c r="A298" s="4">
        <v>50</v>
      </c>
      <c r="B298" s="4">
        <v>0</v>
      </c>
      <c r="C298" s="4">
        <v>0</v>
      </c>
      <c r="D298" s="4">
        <v>1</v>
      </c>
      <c r="E298" s="4">
        <v>233</v>
      </c>
      <c r="F298" s="4">
        <f>ROUND(Source!BD273,O298)</f>
        <v>467.16</v>
      </c>
      <c r="G298" s="4" t="s">
        <v>128</v>
      </c>
      <c r="H298" s="4" t="s">
        <v>129</v>
      </c>
      <c r="I298" s="4"/>
      <c r="J298" s="4"/>
      <c r="K298" s="4">
        <v>233</v>
      </c>
      <c r="L298" s="4">
        <v>24</v>
      </c>
      <c r="M298" s="4">
        <v>3</v>
      </c>
      <c r="N298" s="4" t="s">
        <v>3</v>
      </c>
      <c r="O298" s="4">
        <v>2</v>
      </c>
      <c r="P298" s="4"/>
      <c r="Q298" s="4"/>
      <c r="R298" s="4"/>
      <c r="S298" s="4"/>
      <c r="T298" s="4"/>
      <c r="U298" s="4"/>
      <c r="V298" s="4"/>
      <c r="W298" s="4">
        <v>467.16</v>
      </c>
      <c r="X298" s="4">
        <v>1</v>
      </c>
      <c r="Y298" s="4">
        <v>467.16</v>
      </c>
      <c r="Z298" s="4"/>
      <c r="AA298" s="4"/>
      <c r="AB298" s="4"/>
    </row>
    <row r="299" spans="1:28" x14ac:dyDescent="0.2">
      <c r="A299" s="4">
        <v>50</v>
      </c>
      <c r="B299" s="4">
        <v>0</v>
      </c>
      <c r="C299" s="4">
        <v>0</v>
      </c>
      <c r="D299" s="4">
        <v>1</v>
      </c>
      <c r="E299" s="4">
        <v>210</v>
      </c>
      <c r="F299" s="4">
        <f>ROUND(Source!X273,O299)</f>
        <v>9943.0499999999993</v>
      </c>
      <c r="G299" s="4" t="s">
        <v>130</v>
      </c>
      <c r="H299" s="4" t="s">
        <v>131</v>
      </c>
      <c r="I299" s="4"/>
      <c r="J299" s="4"/>
      <c r="K299" s="4">
        <v>210</v>
      </c>
      <c r="L299" s="4">
        <v>25</v>
      </c>
      <c r="M299" s="4">
        <v>3</v>
      </c>
      <c r="N299" s="4" t="s">
        <v>3</v>
      </c>
      <c r="O299" s="4">
        <v>2</v>
      </c>
      <c r="P299" s="4"/>
      <c r="Q299" s="4"/>
      <c r="R299" s="4"/>
      <c r="S299" s="4"/>
      <c r="T299" s="4"/>
      <c r="U299" s="4"/>
      <c r="V299" s="4"/>
      <c r="W299" s="4">
        <v>9943.0499999999993</v>
      </c>
      <c r="X299" s="4">
        <v>1</v>
      </c>
      <c r="Y299" s="4">
        <v>9943.0499999999993</v>
      </c>
      <c r="Z299" s="4"/>
      <c r="AA299" s="4"/>
      <c r="AB299" s="4"/>
    </row>
    <row r="300" spans="1:28" x14ac:dyDescent="0.2">
      <c r="A300" s="4">
        <v>50</v>
      </c>
      <c r="B300" s="4">
        <v>0</v>
      </c>
      <c r="C300" s="4">
        <v>0</v>
      </c>
      <c r="D300" s="4">
        <v>1</v>
      </c>
      <c r="E300" s="4">
        <v>211</v>
      </c>
      <c r="F300" s="4">
        <f>ROUND(Source!Y273,O300)</f>
        <v>6322.37</v>
      </c>
      <c r="G300" s="4" t="s">
        <v>132</v>
      </c>
      <c r="H300" s="4" t="s">
        <v>133</v>
      </c>
      <c r="I300" s="4"/>
      <c r="J300" s="4"/>
      <c r="K300" s="4">
        <v>211</v>
      </c>
      <c r="L300" s="4">
        <v>26</v>
      </c>
      <c r="M300" s="4">
        <v>3</v>
      </c>
      <c r="N300" s="4" t="s">
        <v>3</v>
      </c>
      <c r="O300" s="4">
        <v>2</v>
      </c>
      <c r="P300" s="4"/>
      <c r="Q300" s="4"/>
      <c r="R300" s="4"/>
      <c r="S300" s="4"/>
      <c r="T300" s="4"/>
      <c r="U300" s="4"/>
      <c r="V300" s="4"/>
      <c r="W300" s="4">
        <v>6322.37</v>
      </c>
      <c r="X300" s="4">
        <v>1</v>
      </c>
      <c r="Y300" s="4">
        <v>6322.37</v>
      </c>
      <c r="Z300" s="4"/>
      <c r="AA300" s="4"/>
      <c r="AB300" s="4"/>
    </row>
    <row r="301" spans="1:28" x14ac:dyDescent="0.2">
      <c r="A301" s="4">
        <v>50</v>
      </c>
      <c r="B301" s="4">
        <v>0</v>
      </c>
      <c r="C301" s="4">
        <v>0</v>
      </c>
      <c r="D301" s="4">
        <v>1</v>
      </c>
      <c r="E301" s="4">
        <v>224</v>
      </c>
      <c r="F301" s="4">
        <f>ROUND(Source!AR273,O301)</f>
        <v>130529.48</v>
      </c>
      <c r="G301" s="4" t="s">
        <v>134</v>
      </c>
      <c r="H301" s="4" t="s">
        <v>135</v>
      </c>
      <c r="I301" s="4"/>
      <c r="J301" s="4"/>
      <c r="K301" s="4">
        <v>224</v>
      </c>
      <c r="L301" s="4">
        <v>27</v>
      </c>
      <c r="M301" s="4">
        <v>3</v>
      </c>
      <c r="N301" s="4" t="s">
        <v>3</v>
      </c>
      <c r="O301" s="4">
        <v>2</v>
      </c>
      <c r="P301" s="4"/>
      <c r="Q301" s="4"/>
      <c r="R301" s="4"/>
      <c r="S301" s="4"/>
      <c r="T301" s="4"/>
      <c r="U301" s="4"/>
      <c r="V301" s="4"/>
      <c r="W301" s="4">
        <v>130529.48</v>
      </c>
      <c r="X301" s="4">
        <v>1</v>
      </c>
      <c r="Y301" s="4">
        <v>130529.48</v>
      </c>
      <c r="Z301" s="4"/>
      <c r="AA301" s="4"/>
      <c r="AB301" s="4"/>
    </row>
    <row r="302" spans="1:28" x14ac:dyDescent="0.2">
      <c r="A302" s="4">
        <v>50</v>
      </c>
      <c r="B302" s="4">
        <v>1</v>
      </c>
      <c r="C302" s="4">
        <v>0</v>
      </c>
      <c r="D302" s="4">
        <v>2</v>
      </c>
      <c r="E302" s="4">
        <v>0</v>
      </c>
      <c r="F302" s="4">
        <f>ROUND(F288,O302)</f>
        <v>8489.99</v>
      </c>
      <c r="G302" s="4" t="s">
        <v>136</v>
      </c>
      <c r="H302" s="4" t="s">
        <v>108</v>
      </c>
      <c r="I302" s="4"/>
      <c r="J302" s="4"/>
      <c r="K302" s="4">
        <v>212</v>
      </c>
      <c r="L302" s="4">
        <v>28</v>
      </c>
      <c r="M302" s="4">
        <v>0</v>
      </c>
      <c r="N302" s="4" t="s">
        <v>3</v>
      </c>
      <c r="O302" s="4">
        <v>2</v>
      </c>
      <c r="P302" s="4"/>
      <c r="Q302" s="4"/>
      <c r="R302" s="4"/>
      <c r="S302" s="4"/>
      <c r="T302" s="4"/>
      <c r="U302" s="4"/>
      <c r="V302" s="4"/>
      <c r="W302" s="4">
        <v>8489.99</v>
      </c>
      <c r="X302" s="4">
        <v>1</v>
      </c>
      <c r="Y302" s="4">
        <v>8489.99</v>
      </c>
      <c r="Z302" s="4"/>
      <c r="AA302" s="4"/>
      <c r="AB302" s="4"/>
    </row>
    <row r="303" spans="1:28" x14ac:dyDescent="0.2">
      <c r="A303" s="4">
        <v>50</v>
      </c>
      <c r="B303" s="4">
        <v>1</v>
      </c>
      <c r="C303" s="4">
        <v>0</v>
      </c>
      <c r="D303" s="4">
        <v>2</v>
      </c>
      <c r="E303" s="4">
        <v>0</v>
      </c>
      <c r="F303" s="4">
        <f>ROUND(F285,O303)</f>
        <v>7442.92</v>
      </c>
      <c r="G303" s="4" t="s">
        <v>137</v>
      </c>
      <c r="H303" s="4" t="s">
        <v>138</v>
      </c>
      <c r="I303" s="4"/>
      <c r="J303" s="4"/>
      <c r="K303" s="4">
        <v>212</v>
      </c>
      <c r="L303" s="4">
        <v>29</v>
      </c>
      <c r="M303" s="4">
        <v>0</v>
      </c>
      <c r="N303" s="4" t="s">
        <v>3</v>
      </c>
      <c r="O303" s="4">
        <v>2</v>
      </c>
      <c r="P303" s="4"/>
      <c r="Q303" s="4"/>
      <c r="R303" s="4"/>
      <c r="S303" s="4"/>
      <c r="T303" s="4"/>
      <c r="U303" s="4"/>
      <c r="V303" s="4"/>
      <c r="W303" s="4">
        <v>7442.92</v>
      </c>
      <c r="X303" s="4">
        <v>1</v>
      </c>
      <c r="Y303" s="4">
        <v>7442.92</v>
      </c>
      <c r="Z303" s="4"/>
      <c r="AA303" s="4"/>
      <c r="AB303" s="4"/>
    </row>
    <row r="304" spans="1:28" x14ac:dyDescent="0.2">
      <c r="A304" s="4">
        <v>50</v>
      </c>
      <c r="B304" s="4">
        <v>1</v>
      </c>
      <c r="C304" s="4">
        <v>0</v>
      </c>
      <c r="D304" s="4">
        <v>2</v>
      </c>
      <c r="E304" s="4">
        <v>0</v>
      </c>
      <c r="F304" s="4">
        <f>ROUND(F276,O304)</f>
        <v>98331.15</v>
      </c>
      <c r="G304" s="4" t="s">
        <v>139</v>
      </c>
      <c r="H304" s="4" t="s">
        <v>140</v>
      </c>
      <c r="I304" s="4"/>
      <c r="J304" s="4"/>
      <c r="K304" s="4">
        <v>212</v>
      </c>
      <c r="L304" s="4">
        <v>30</v>
      </c>
      <c r="M304" s="4">
        <v>0</v>
      </c>
      <c r="N304" s="4" t="s">
        <v>3</v>
      </c>
      <c r="O304" s="4">
        <v>2</v>
      </c>
      <c r="P304" s="4"/>
      <c r="Q304" s="4"/>
      <c r="R304" s="4"/>
      <c r="S304" s="4"/>
      <c r="T304" s="4"/>
      <c r="U304" s="4"/>
      <c r="V304" s="4"/>
      <c r="W304" s="4">
        <v>98331.15</v>
      </c>
      <c r="X304" s="4">
        <v>1</v>
      </c>
      <c r="Y304" s="4">
        <v>98331.15</v>
      </c>
      <c r="Z304" s="4"/>
      <c r="AA304" s="4"/>
      <c r="AB304" s="4"/>
    </row>
    <row r="305" spans="1:245" x14ac:dyDescent="0.2">
      <c r="A305" s="4">
        <v>50</v>
      </c>
      <c r="B305" s="4">
        <v>1</v>
      </c>
      <c r="C305" s="4">
        <v>0</v>
      </c>
      <c r="D305" s="4">
        <v>2</v>
      </c>
      <c r="E305" s="4">
        <v>0</v>
      </c>
      <c r="F305" s="4">
        <f>ROUND(F299,O305)</f>
        <v>9943.0499999999993</v>
      </c>
      <c r="G305" s="4" t="s">
        <v>141</v>
      </c>
      <c r="H305" s="4" t="s">
        <v>130</v>
      </c>
      <c r="I305" s="4"/>
      <c r="J305" s="4"/>
      <c r="K305" s="4">
        <v>212</v>
      </c>
      <c r="L305" s="4">
        <v>31</v>
      </c>
      <c r="M305" s="4">
        <v>0</v>
      </c>
      <c r="N305" s="4" t="s">
        <v>3</v>
      </c>
      <c r="O305" s="4">
        <v>2</v>
      </c>
      <c r="P305" s="4"/>
      <c r="Q305" s="4"/>
      <c r="R305" s="4"/>
      <c r="S305" s="4"/>
      <c r="T305" s="4"/>
      <c r="U305" s="4"/>
      <c r="V305" s="4"/>
      <c r="W305" s="4">
        <v>9943.0499999999993</v>
      </c>
      <c r="X305" s="4">
        <v>1</v>
      </c>
      <c r="Y305" s="4">
        <v>9943.0499999999993</v>
      </c>
      <c r="Z305" s="4"/>
      <c r="AA305" s="4"/>
      <c r="AB305" s="4"/>
    </row>
    <row r="306" spans="1:245" x14ac:dyDescent="0.2">
      <c r="A306" s="4">
        <v>50</v>
      </c>
      <c r="B306" s="4">
        <v>1</v>
      </c>
      <c r="C306" s="4">
        <v>0</v>
      </c>
      <c r="D306" s="4">
        <v>2</v>
      </c>
      <c r="E306" s="4">
        <v>0</v>
      </c>
      <c r="F306" s="4">
        <f>ROUND(F300,O306)</f>
        <v>6322.37</v>
      </c>
      <c r="G306" s="4" t="s">
        <v>142</v>
      </c>
      <c r="H306" s="4" t="s">
        <v>143</v>
      </c>
      <c r="I306" s="4"/>
      <c r="J306" s="4"/>
      <c r="K306" s="4">
        <v>212</v>
      </c>
      <c r="L306" s="4">
        <v>32</v>
      </c>
      <c r="M306" s="4">
        <v>0</v>
      </c>
      <c r="N306" s="4" t="s">
        <v>3</v>
      </c>
      <c r="O306" s="4">
        <v>2</v>
      </c>
      <c r="P306" s="4"/>
      <c r="Q306" s="4"/>
      <c r="R306" s="4"/>
      <c r="S306" s="4"/>
      <c r="T306" s="4"/>
      <c r="U306" s="4"/>
      <c r="V306" s="4"/>
      <c r="W306" s="4">
        <v>6322.37</v>
      </c>
      <c r="X306" s="4">
        <v>1</v>
      </c>
      <c r="Y306" s="4">
        <v>6322.37</v>
      </c>
      <c r="Z306" s="4"/>
      <c r="AA306" s="4"/>
      <c r="AB306" s="4"/>
    </row>
    <row r="307" spans="1:245" x14ac:dyDescent="0.2">
      <c r="A307" s="4">
        <v>50</v>
      </c>
      <c r="B307" s="4">
        <v>1</v>
      </c>
      <c r="C307" s="4">
        <v>0</v>
      </c>
      <c r="D307" s="4">
        <v>2</v>
      </c>
      <c r="E307" s="4">
        <v>0</v>
      </c>
      <c r="F307" s="4">
        <f>ROUND(F302+F303+F304+F305+F306,O307)</f>
        <v>130529.48</v>
      </c>
      <c r="G307" s="4" t="s">
        <v>144</v>
      </c>
      <c r="H307" s="4" t="s">
        <v>134</v>
      </c>
      <c r="I307" s="4"/>
      <c r="J307" s="4"/>
      <c r="K307" s="4">
        <v>212</v>
      </c>
      <c r="L307" s="4">
        <v>33</v>
      </c>
      <c r="M307" s="4">
        <v>0</v>
      </c>
      <c r="N307" s="4" t="s">
        <v>3</v>
      </c>
      <c r="O307" s="4">
        <v>2</v>
      </c>
      <c r="P307" s="4"/>
      <c r="Q307" s="4"/>
      <c r="R307" s="4"/>
      <c r="S307" s="4"/>
      <c r="T307" s="4"/>
      <c r="U307" s="4"/>
      <c r="V307" s="4"/>
      <c r="W307" s="4">
        <v>130529.48</v>
      </c>
      <c r="X307" s="4">
        <v>1</v>
      </c>
      <c r="Y307" s="4">
        <v>130529.48</v>
      </c>
      <c r="Z307" s="4"/>
      <c r="AA307" s="4"/>
      <c r="AB307" s="4"/>
    </row>
    <row r="308" spans="1:245" x14ac:dyDescent="0.2">
      <c r="A308" s="4">
        <v>50</v>
      </c>
      <c r="B308" s="4">
        <v>1</v>
      </c>
      <c r="C308" s="4">
        <v>0</v>
      </c>
      <c r="D308" s="4">
        <v>2</v>
      </c>
      <c r="E308" s="4">
        <v>0</v>
      </c>
      <c r="F308" s="4">
        <f>ROUND(F307*0.2,O308)</f>
        <v>26105.9</v>
      </c>
      <c r="G308" s="4" t="s">
        <v>145</v>
      </c>
      <c r="H308" s="4" t="s">
        <v>146</v>
      </c>
      <c r="I308" s="4"/>
      <c r="J308" s="4"/>
      <c r="K308" s="4">
        <v>212</v>
      </c>
      <c r="L308" s="4">
        <v>34</v>
      </c>
      <c r="M308" s="4">
        <v>0</v>
      </c>
      <c r="N308" s="4" t="s">
        <v>3</v>
      </c>
      <c r="O308" s="4">
        <v>2</v>
      </c>
      <c r="P308" s="4"/>
      <c r="Q308" s="4"/>
      <c r="R308" s="4"/>
      <c r="S308" s="4"/>
      <c r="T308" s="4"/>
      <c r="U308" s="4"/>
      <c r="V308" s="4"/>
      <c r="W308" s="4">
        <v>26105.9</v>
      </c>
      <c r="X308" s="4">
        <v>1</v>
      </c>
      <c r="Y308" s="4">
        <v>26105.9</v>
      </c>
      <c r="Z308" s="4"/>
      <c r="AA308" s="4"/>
      <c r="AB308" s="4"/>
    </row>
    <row r="309" spans="1:245" x14ac:dyDescent="0.2">
      <c r="A309" s="4">
        <v>50</v>
      </c>
      <c r="B309" s="4">
        <v>1</v>
      </c>
      <c r="C309" s="4">
        <v>0</v>
      </c>
      <c r="D309" s="4">
        <v>2</v>
      </c>
      <c r="E309" s="4">
        <v>213</v>
      </c>
      <c r="F309" s="4">
        <f>ROUND(F307+F308,O309)</f>
        <v>156635.38</v>
      </c>
      <c r="G309" s="4" t="s">
        <v>147</v>
      </c>
      <c r="H309" s="4" t="s">
        <v>148</v>
      </c>
      <c r="I309" s="4"/>
      <c r="J309" s="4"/>
      <c r="K309" s="4">
        <v>212</v>
      </c>
      <c r="L309" s="4">
        <v>35</v>
      </c>
      <c r="M309" s="4">
        <v>0</v>
      </c>
      <c r="N309" s="4" t="s">
        <v>3</v>
      </c>
      <c r="O309" s="4">
        <v>2</v>
      </c>
      <c r="P309" s="4"/>
      <c r="Q309" s="4"/>
      <c r="R309" s="4"/>
      <c r="S309" s="4"/>
      <c r="T309" s="4"/>
      <c r="U309" s="4"/>
      <c r="V309" s="4"/>
      <c r="W309" s="4">
        <v>156635.38</v>
      </c>
      <c r="X309" s="4">
        <v>1</v>
      </c>
      <c r="Y309" s="4">
        <v>156635.38</v>
      </c>
      <c r="Z309" s="4"/>
      <c r="AA309" s="4"/>
      <c r="AB309" s="4"/>
    </row>
    <row r="311" spans="1:245" x14ac:dyDescent="0.2">
      <c r="A311" s="1">
        <v>4</v>
      </c>
      <c r="B311" s="1">
        <v>1</v>
      </c>
      <c r="C311" s="1"/>
      <c r="D311" s="1">
        <f>ROW(A340)</f>
        <v>340</v>
      </c>
      <c r="E311" s="1"/>
      <c r="F311" s="1" t="s">
        <v>14</v>
      </c>
      <c r="G311" s="1" t="s">
        <v>408</v>
      </c>
      <c r="H311" s="1" t="s">
        <v>3</v>
      </c>
      <c r="I311" s="1">
        <v>0</v>
      </c>
      <c r="J311" s="1"/>
      <c r="K311" s="1">
        <v>-1</v>
      </c>
      <c r="L311" s="1"/>
      <c r="M311" s="1" t="s">
        <v>3</v>
      </c>
      <c r="N311" s="1"/>
      <c r="O311" s="1"/>
      <c r="P311" s="1"/>
      <c r="Q311" s="1"/>
      <c r="R311" s="1"/>
      <c r="S311" s="1">
        <v>0</v>
      </c>
      <c r="T311" s="1"/>
      <c r="U311" s="1" t="s">
        <v>3</v>
      </c>
      <c r="V311" s="1">
        <v>0</v>
      </c>
      <c r="W311" s="1"/>
      <c r="X311" s="1"/>
      <c r="Y311" s="1"/>
      <c r="Z311" s="1"/>
      <c r="AA311" s="1"/>
      <c r="AB311" s="1" t="s">
        <v>3</v>
      </c>
      <c r="AC311" s="1" t="s">
        <v>3</v>
      </c>
      <c r="AD311" s="1" t="s">
        <v>3</v>
      </c>
      <c r="AE311" s="1" t="s">
        <v>3</v>
      </c>
      <c r="AF311" s="1" t="s">
        <v>3</v>
      </c>
      <c r="AG311" s="1" t="s">
        <v>3</v>
      </c>
      <c r="AH311" s="1"/>
      <c r="AI311" s="1"/>
      <c r="AJ311" s="1"/>
      <c r="AK311" s="1"/>
      <c r="AL311" s="1"/>
      <c r="AM311" s="1"/>
      <c r="AN311" s="1"/>
      <c r="AO311" s="1"/>
      <c r="AP311" s="1" t="s">
        <v>3</v>
      </c>
      <c r="AQ311" s="1" t="s">
        <v>3</v>
      </c>
      <c r="AR311" s="1" t="s">
        <v>3</v>
      </c>
      <c r="AS311" s="1"/>
      <c r="AT311" s="1"/>
      <c r="AU311" s="1"/>
      <c r="AV311" s="1"/>
      <c r="AW311" s="1"/>
      <c r="AX311" s="1"/>
      <c r="AY311" s="1"/>
      <c r="AZ311" s="1" t="s">
        <v>3</v>
      </c>
      <c r="BA311" s="1"/>
      <c r="BB311" s="1" t="s">
        <v>3</v>
      </c>
      <c r="BC311" s="1" t="s">
        <v>3</v>
      </c>
      <c r="BD311" s="1" t="s">
        <v>3</v>
      </c>
      <c r="BE311" s="1" t="s">
        <v>3</v>
      </c>
      <c r="BF311" s="1" t="s">
        <v>3</v>
      </c>
      <c r="BG311" s="1" t="s">
        <v>3</v>
      </c>
      <c r="BH311" s="1" t="s">
        <v>3</v>
      </c>
      <c r="BI311" s="1" t="s">
        <v>3</v>
      </c>
      <c r="BJ311" s="1" t="s">
        <v>3</v>
      </c>
      <c r="BK311" s="1" t="s">
        <v>3</v>
      </c>
      <c r="BL311" s="1" t="s">
        <v>3</v>
      </c>
      <c r="BM311" s="1" t="s">
        <v>3</v>
      </c>
      <c r="BN311" s="1" t="s">
        <v>3</v>
      </c>
      <c r="BO311" s="1" t="s">
        <v>3</v>
      </c>
      <c r="BP311" s="1" t="s">
        <v>3</v>
      </c>
      <c r="BQ311" s="1"/>
      <c r="BR311" s="1"/>
      <c r="BS311" s="1"/>
      <c r="BT311" s="1"/>
      <c r="BU311" s="1"/>
      <c r="BV311" s="1"/>
      <c r="BW311" s="1"/>
      <c r="BX311" s="1">
        <v>0</v>
      </c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>
        <v>0</v>
      </c>
    </row>
    <row r="313" spans="1:245" x14ac:dyDescent="0.2">
      <c r="A313" s="2">
        <v>52</v>
      </c>
      <c r="B313" s="2">
        <f t="shared" ref="B313:G313" si="242">B340</f>
        <v>1</v>
      </c>
      <c r="C313" s="2">
        <f t="shared" si="242"/>
        <v>4</v>
      </c>
      <c r="D313" s="2">
        <f t="shared" si="242"/>
        <v>311</v>
      </c>
      <c r="E313" s="2">
        <f t="shared" si="242"/>
        <v>0</v>
      </c>
      <c r="F313" s="2" t="str">
        <f t="shared" si="242"/>
        <v>Новый раздел</v>
      </c>
      <c r="G313" s="2" t="str">
        <f t="shared" si="242"/>
        <v>Площадка для прощания</v>
      </c>
      <c r="H313" s="2"/>
      <c r="I313" s="2"/>
      <c r="J313" s="2"/>
      <c r="K313" s="2"/>
      <c r="L313" s="2"/>
      <c r="M313" s="2"/>
      <c r="N313" s="2"/>
      <c r="O313" s="2">
        <f t="shared" ref="O313:AT313" si="243">O340</f>
        <v>178248.76</v>
      </c>
      <c r="P313" s="2">
        <f t="shared" si="243"/>
        <v>159294.81</v>
      </c>
      <c r="Q313" s="2">
        <f t="shared" si="243"/>
        <v>7953.23</v>
      </c>
      <c r="R313" s="2">
        <f t="shared" si="243"/>
        <v>1714.8</v>
      </c>
      <c r="S313" s="2">
        <f t="shared" si="243"/>
        <v>11000.72</v>
      </c>
      <c r="T313" s="2">
        <f t="shared" si="243"/>
        <v>0</v>
      </c>
      <c r="U313" s="2">
        <f t="shared" si="243"/>
        <v>38.639503999999995</v>
      </c>
      <c r="V313" s="2">
        <f t="shared" si="243"/>
        <v>4.1286240000000003</v>
      </c>
      <c r="W313" s="2">
        <f t="shared" si="243"/>
        <v>0</v>
      </c>
      <c r="X313" s="2">
        <f t="shared" si="243"/>
        <v>12314.02</v>
      </c>
      <c r="Y313" s="2">
        <f t="shared" si="243"/>
        <v>7735.44</v>
      </c>
      <c r="Z313" s="2">
        <f t="shared" si="243"/>
        <v>0</v>
      </c>
      <c r="AA313" s="2">
        <f t="shared" si="243"/>
        <v>0</v>
      </c>
      <c r="AB313" s="2">
        <f t="shared" si="243"/>
        <v>178248.76</v>
      </c>
      <c r="AC313" s="2">
        <f t="shared" si="243"/>
        <v>159294.81</v>
      </c>
      <c r="AD313" s="2">
        <f t="shared" si="243"/>
        <v>7953.23</v>
      </c>
      <c r="AE313" s="2">
        <f t="shared" si="243"/>
        <v>1714.8</v>
      </c>
      <c r="AF313" s="2">
        <f t="shared" si="243"/>
        <v>11000.72</v>
      </c>
      <c r="AG313" s="2">
        <f t="shared" si="243"/>
        <v>0</v>
      </c>
      <c r="AH313" s="2">
        <f t="shared" si="243"/>
        <v>38.639503999999995</v>
      </c>
      <c r="AI313" s="2">
        <f t="shared" si="243"/>
        <v>4.1286240000000003</v>
      </c>
      <c r="AJ313" s="2">
        <f t="shared" si="243"/>
        <v>0</v>
      </c>
      <c r="AK313" s="2">
        <f t="shared" si="243"/>
        <v>12314.02</v>
      </c>
      <c r="AL313" s="2">
        <f t="shared" si="243"/>
        <v>7735.44</v>
      </c>
      <c r="AM313" s="2">
        <f t="shared" si="243"/>
        <v>0</v>
      </c>
      <c r="AN313" s="2">
        <f t="shared" si="243"/>
        <v>0</v>
      </c>
      <c r="AO313" s="2">
        <f t="shared" si="243"/>
        <v>0</v>
      </c>
      <c r="AP313" s="2">
        <f t="shared" si="243"/>
        <v>0</v>
      </c>
      <c r="AQ313" s="2">
        <f t="shared" si="243"/>
        <v>0</v>
      </c>
      <c r="AR313" s="2">
        <f t="shared" si="243"/>
        <v>198298.22</v>
      </c>
      <c r="AS313" s="2">
        <f t="shared" si="243"/>
        <v>198298.22</v>
      </c>
      <c r="AT313" s="2">
        <f t="shared" si="243"/>
        <v>0</v>
      </c>
      <c r="AU313" s="2">
        <f t="shared" ref="AU313:BZ313" si="244">AU340</f>
        <v>0</v>
      </c>
      <c r="AV313" s="2">
        <f t="shared" si="244"/>
        <v>159294.81</v>
      </c>
      <c r="AW313" s="2">
        <f t="shared" si="244"/>
        <v>159294.81</v>
      </c>
      <c r="AX313" s="2">
        <f t="shared" si="244"/>
        <v>0</v>
      </c>
      <c r="AY313" s="2">
        <f t="shared" si="244"/>
        <v>159294.81</v>
      </c>
      <c r="AZ313" s="2">
        <f t="shared" si="244"/>
        <v>0</v>
      </c>
      <c r="BA313" s="2">
        <f t="shared" si="244"/>
        <v>0</v>
      </c>
      <c r="BB313" s="2">
        <f t="shared" si="244"/>
        <v>0</v>
      </c>
      <c r="BC313" s="2">
        <f t="shared" si="244"/>
        <v>0</v>
      </c>
      <c r="BD313" s="2">
        <f t="shared" si="244"/>
        <v>0</v>
      </c>
      <c r="BE313" s="2">
        <f t="shared" si="244"/>
        <v>0</v>
      </c>
      <c r="BF313" s="2">
        <f t="shared" si="244"/>
        <v>0</v>
      </c>
      <c r="BG313" s="2">
        <f t="shared" si="244"/>
        <v>0</v>
      </c>
      <c r="BH313" s="2">
        <f t="shared" si="244"/>
        <v>0</v>
      </c>
      <c r="BI313" s="2">
        <f t="shared" si="244"/>
        <v>0</v>
      </c>
      <c r="BJ313" s="2">
        <f t="shared" si="244"/>
        <v>0</v>
      </c>
      <c r="BK313" s="2">
        <f t="shared" si="244"/>
        <v>0</v>
      </c>
      <c r="BL313" s="2">
        <f t="shared" si="244"/>
        <v>0</v>
      </c>
      <c r="BM313" s="2">
        <f t="shared" si="244"/>
        <v>0</v>
      </c>
      <c r="BN313" s="2">
        <f t="shared" si="244"/>
        <v>0</v>
      </c>
      <c r="BO313" s="2">
        <f t="shared" si="244"/>
        <v>0</v>
      </c>
      <c r="BP313" s="2">
        <f t="shared" si="244"/>
        <v>0</v>
      </c>
      <c r="BQ313" s="2">
        <f t="shared" si="244"/>
        <v>0</v>
      </c>
      <c r="BR313" s="2">
        <f t="shared" si="244"/>
        <v>0</v>
      </c>
      <c r="BS313" s="2">
        <f t="shared" si="244"/>
        <v>0</v>
      </c>
      <c r="BT313" s="2">
        <f t="shared" si="244"/>
        <v>0</v>
      </c>
      <c r="BU313" s="2">
        <f t="shared" si="244"/>
        <v>0</v>
      </c>
      <c r="BV313" s="2">
        <f t="shared" si="244"/>
        <v>0</v>
      </c>
      <c r="BW313" s="2">
        <f t="shared" si="244"/>
        <v>0</v>
      </c>
      <c r="BX313" s="2">
        <f t="shared" si="244"/>
        <v>0</v>
      </c>
      <c r="BY313" s="2">
        <f t="shared" si="244"/>
        <v>0</v>
      </c>
      <c r="BZ313" s="2">
        <f t="shared" si="244"/>
        <v>0</v>
      </c>
      <c r="CA313" s="2">
        <f t="shared" ref="CA313:DF313" si="245">CA340</f>
        <v>198298.22</v>
      </c>
      <c r="CB313" s="2">
        <f t="shared" si="245"/>
        <v>198298.22</v>
      </c>
      <c r="CC313" s="2">
        <f t="shared" si="245"/>
        <v>0</v>
      </c>
      <c r="CD313" s="2">
        <f t="shared" si="245"/>
        <v>0</v>
      </c>
      <c r="CE313" s="2">
        <f t="shared" si="245"/>
        <v>159294.81</v>
      </c>
      <c r="CF313" s="2">
        <f t="shared" si="245"/>
        <v>159294.81</v>
      </c>
      <c r="CG313" s="2">
        <f t="shared" si="245"/>
        <v>0</v>
      </c>
      <c r="CH313" s="2">
        <f t="shared" si="245"/>
        <v>159294.81</v>
      </c>
      <c r="CI313" s="2">
        <f t="shared" si="245"/>
        <v>0</v>
      </c>
      <c r="CJ313" s="2">
        <f t="shared" si="245"/>
        <v>0</v>
      </c>
      <c r="CK313" s="2">
        <f t="shared" si="245"/>
        <v>0</v>
      </c>
      <c r="CL313" s="2">
        <f t="shared" si="245"/>
        <v>0</v>
      </c>
      <c r="CM313" s="2">
        <f t="shared" si="245"/>
        <v>0</v>
      </c>
      <c r="CN313" s="2">
        <f t="shared" si="245"/>
        <v>0</v>
      </c>
      <c r="CO313" s="2">
        <f t="shared" si="245"/>
        <v>0</v>
      </c>
      <c r="CP313" s="2">
        <f t="shared" si="245"/>
        <v>0</v>
      </c>
      <c r="CQ313" s="2">
        <f t="shared" si="245"/>
        <v>0</v>
      </c>
      <c r="CR313" s="2">
        <f t="shared" si="245"/>
        <v>0</v>
      </c>
      <c r="CS313" s="2">
        <f t="shared" si="245"/>
        <v>0</v>
      </c>
      <c r="CT313" s="2">
        <f t="shared" si="245"/>
        <v>0</v>
      </c>
      <c r="CU313" s="2">
        <f t="shared" si="245"/>
        <v>0</v>
      </c>
      <c r="CV313" s="2">
        <f t="shared" si="245"/>
        <v>0</v>
      </c>
      <c r="CW313" s="2">
        <f t="shared" si="245"/>
        <v>0</v>
      </c>
      <c r="CX313" s="2">
        <f t="shared" si="245"/>
        <v>0</v>
      </c>
      <c r="CY313" s="2">
        <f t="shared" si="245"/>
        <v>0</v>
      </c>
      <c r="CZ313" s="2">
        <f t="shared" si="245"/>
        <v>0</v>
      </c>
      <c r="DA313" s="2">
        <f t="shared" si="245"/>
        <v>0</v>
      </c>
      <c r="DB313" s="2">
        <f t="shared" si="245"/>
        <v>0</v>
      </c>
      <c r="DC313" s="2">
        <f t="shared" si="245"/>
        <v>0</v>
      </c>
      <c r="DD313" s="2">
        <f t="shared" si="245"/>
        <v>0</v>
      </c>
      <c r="DE313" s="2">
        <f t="shared" si="245"/>
        <v>0</v>
      </c>
      <c r="DF313" s="2">
        <f t="shared" si="245"/>
        <v>0</v>
      </c>
      <c r="DG313" s="3">
        <f t="shared" ref="DG313:EL313" si="246">DG340</f>
        <v>0</v>
      </c>
      <c r="DH313" s="3">
        <f t="shared" si="246"/>
        <v>0</v>
      </c>
      <c r="DI313" s="3">
        <f t="shared" si="246"/>
        <v>0</v>
      </c>
      <c r="DJ313" s="3">
        <f t="shared" si="246"/>
        <v>0</v>
      </c>
      <c r="DK313" s="3">
        <f t="shared" si="246"/>
        <v>0</v>
      </c>
      <c r="DL313" s="3">
        <f t="shared" si="246"/>
        <v>0</v>
      </c>
      <c r="DM313" s="3">
        <f t="shared" si="246"/>
        <v>0</v>
      </c>
      <c r="DN313" s="3">
        <f t="shared" si="246"/>
        <v>0</v>
      </c>
      <c r="DO313" s="3">
        <f t="shared" si="246"/>
        <v>0</v>
      </c>
      <c r="DP313" s="3">
        <f t="shared" si="246"/>
        <v>0</v>
      </c>
      <c r="DQ313" s="3">
        <f t="shared" si="246"/>
        <v>0</v>
      </c>
      <c r="DR313" s="3">
        <f t="shared" si="246"/>
        <v>0</v>
      </c>
      <c r="DS313" s="3">
        <f t="shared" si="246"/>
        <v>0</v>
      </c>
      <c r="DT313" s="3">
        <f t="shared" si="246"/>
        <v>0</v>
      </c>
      <c r="DU313" s="3">
        <f t="shared" si="246"/>
        <v>0</v>
      </c>
      <c r="DV313" s="3">
        <f t="shared" si="246"/>
        <v>0</v>
      </c>
      <c r="DW313" s="3">
        <f t="shared" si="246"/>
        <v>0</v>
      </c>
      <c r="DX313" s="3">
        <f t="shared" si="246"/>
        <v>0</v>
      </c>
      <c r="DY313" s="3">
        <f t="shared" si="246"/>
        <v>0</v>
      </c>
      <c r="DZ313" s="3">
        <f t="shared" si="246"/>
        <v>0</v>
      </c>
      <c r="EA313" s="3">
        <f t="shared" si="246"/>
        <v>0</v>
      </c>
      <c r="EB313" s="3">
        <f t="shared" si="246"/>
        <v>0</v>
      </c>
      <c r="EC313" s="3">
        <f t="shared" si="246"/>
        <v>0</v>
      </c>
      <c r="ED313" s="3">
        <f t="shared" si="246"/>
        <v>0</v>
      </c>
      <c r="EE313" s="3">
        <f t="shared" si="246"/>
        <v>0</v>
      </c>
      <c r="EF313" s="3">
        <f t="shared" si="246"/>
        <v>0</v>
      </c>
      <c r="EG313" s="3">
        <f t="shared" si="246"/>
        <v>0</v>
      </c>
      <c r="EH313" s="3">
        <f t="shared" si="246"/>
        <v>0</v>
      </c>
      <c r="EI313" s="3">
        <f t="shared" si="246"/>
        <v>0</v>
      </c>
      <c r="EJ313" s="3">
        <f t="shared" si="246"/>
        <v>0</v>
      </c>
      <c r="EK313" s="3">
        <f t="shared" si="246"/>
        <v>0</v>
      </c>
      <c r="EL313" s="3">
        <f t="shared" si="246"/>
        <v>0</v>
      </c>
      <c r="EM313" s="3">
        <f t="shared" ref="EM313:FR313" si="247">EM340</f>
        <v>0</v>
      </c>
      <c r="EN313" s="3">
        <f t="shared" si="247"/>
        <v>0</v>
      </c>
      <c r="EO313" s="3">
        <f t="shared" si="247"/>
        <v>0</v>
      </c>
      <c r="EP313" s="3">
        <f t="shared" si="247"/>
        <v>0</v>
      </c>
      <c r="EQ313" s="3">
        <f t="shared" si="247"/>
        <v>0</v>
      </c>
      <c r="ER313" s="3">
        <f t="shared" si="247"/>
        <v>0</v>
      </c>
      <c r="ES313" s="3">
        <f t="shared" si="247"/>
        <v>0</v>
      </c>
      <c r="ET313" s="3">
        <f t="shared" si="247"/>
        <v>0</v>
      </c>
      <c r="EU313" s="3">
        <f t="shared" si="247"/>
        <v>0</v>
      </c>
      <c r="EV313" s="3">
        <f t="shared" si="247"/>
        <v>0</v>
      </c>
      <c r="EW313" s="3">
        <f t="shared" si="247"/>
        <v>0</v>
      </c>
      <c r="EX313" s="3">
        <f t="shared" si="247"/>
        <v>0</v>
      </c>
      <c r="EY313" s="3">
        <f t="shared" si="247"/>
        <v>0</v>
      </c>
      <c r="EZ313" s="3">
        <f t="shared" si="247"/>
        <v>0</v>
      </c>
      <c r="FA313" s="3">
        <f t="shared" si="247"/>
        <v>0</v>
      </c>
      <c r="FB313" s="3">
        <f t="shared" si="247"/>
        <v>0</v>
      </c>
      <c r="FC313" s="3">
        <f t="shared" si="247"/>
        <v>0</v>
      </c>
      <c r="FD313" s="3">
        <f t="shared" si="247"/>
        <v>0</v>
      </c>
      <c r="FE313" s="3">
        <f t="shared" si="247"/>
        <v>0</v>
      </c>
      <c r="FF313" s="3">
        <f t="shared" si="247"/>
        <v>0</v>
      </c>
      <c r="FG313" s="3">
        <f t="shared" si="247"/>
        <v>0</v>
      </c>
      <c r="FH313" s="3">
        <f t="shared" si="247"/>
        <v>0</v>
      </c>
      <c r="FI313" s="3">
        <f t="shared" si="247"/>
        <v>0</v>
      </c>
      <c r="FJ313" s="3">
        <f t="shared" si="247"/>
        <v>0</v>
      </c>
      <c r="FK313" s="3">
        <f t="shared" si="247"/>
        <v>0</v>
      </c>
      <c r="FL313" s="3">
        <f t="shared" si="247"/>
        <v>0</v>
      </c>
      <c r="FM313" s="3">
        <f t="shared" si="247"/>
        <v>0</v>
      </c>
      <c r="FN313" s="3">
        <f t="shared" si="247"/>
        <v>0</v>
      </c>
      <c r="FO313" s="3">
        <f t="shared" si="247"/>
        <v>0</v>
      </c>
      <c r="FP313" s="3">
        <f t="shared" si="247"/>
        <v>0</v>
      </c>
      <c r="FQ313" s="3">
        <f t="shared" si="247"/>
        <v>0</v>
      </c>
      <c r="FR313" s="3">
        <f t="shared" si="247"/>
        <v>0</v>
      </c>
      <c r="FS313" s="3">
        <f t="shared" ref="FS313:GX313" si="248">FS340</f>
        <v>0</v>
      </c>
      <c r="FT313" s="3">
        <f t="shared" si="248"/>
        <v>0</v>
      </c>
      <c r="FU313" s="3">
        <f t="shared" si="248"/>
        <v>0</v>
      </c>
      <c r="FV313" s="3">
        <f t="shared" si="248"/>
        <v>0</v>
      </c>
      <c r="FW313" s="3">
        <f t="shared" si="248"/>
        <v>0</v>
      </c>
      <c r="FX313" s="3">
        <f t="shared" si="248"/>
        <v>0</v>
      </c>
      <c r="FY313" s="3">
        <f t="shared" si="248"/>
        <v>0</v>
      </c>
      <c r="FZ313" s="3">
        <f t="shared" si="248"/>
        <v>0</v>
      </c>
      <c r="GA313" s="3">
        <f t="shared" si="248"/>
        <v>0</v>
      </c>
      <c r="GB313" s="3">
        <f t="shared" si="248"/>
        <v>0</v>
      </c>
      <c r="GC313" s="3">
        <f t="shared" si="248"/>
        <v>0</v>
      </c>
      <c r="GD313" s="3">
        <f t="shared" si="248"/>
        <v>0</v>
      </c>
      <c r="GE313" s="3">
        <f t="shared" si="248"/>
        <v>0</v>
      </c>
      <c r="GF313" s="3">
        <f t="shared" si="248"/>
        <v>0</v>
      </c>
      <c r="GG313" s="3">
        <f t="shared" si="248"/>
        <v>0</v>
      </c>
      <c r="GH313" s="3">
        <f t="shared" si="248"/>
        <v>0</v>
      </c>
      <c r="GI313" s="3">
        <f t="shared" si="248"/>
        <v>0</v>
      </c>
      <c r="GJ313" s="3">
        <f t="shared" si="248"/>
        <v>0</v>
      </c>
      <c r="GK313" s="3">
        <f t="shared" si="248"/>
        <v>0</v>
      </c>
      <c r="GL313" s="3">
        <f t="shared" si="248"/>
        <v>0</v>
      </c>
      <c r="GM313" s="3">
        <f t="shared" si="248"/>
        <v>0</v>
      </c>
      <c r="GN313" s="3">
        <f t="shared" si="248"/>
        <v>0</v>
      </c>
      <c r="GO313" s="3">
        <f t="shared" si="248"/>
        <v>0</v>
      </c>
      <c r="GP313" s="3">
        <f t="shared" si="248"/>
        <v>0</v>
      </c>
      <c r="GQ313" s="3">
        <f t="shared" si="248"/>
        <v>0</v>
      </c>
      <c r="GR313" s="3">
        <f t="shared" si="248"/>
        <v>0</v>
      </c>
      <c r="GS313" s="3">
        <f t="shared" si="248"/>
        <v>0</v>
      </c>
      <c r="GT313" s="3">
        <f t="shared" si="248"/>
        <v>0</v>
      </c>
      <c r="GU313" s="3">
        <f t="shared" si="248"/>
        <v>0</v>
      </c>
      <c r="GV313" s="3">
        <f t="shared" si="248"/>
        <v>0</v>
      </c>
      <c r="GW313" s="3">
        <f t="shared" si="248"/>
        <v>0</v>
      </c>
      <c r="GX313" s="3">
        <f t="shared" si="248"/>
        <v>0</v>
      </c>
    </row>
    <row r="315" spans="1:245" x14ac:dyDescent="0.2">
      <c r="A315">
        <v>17</v>
      </c>
      <c r="B315">
        <v>1</v>
      </c>
      <c r="C315">
        <f>ROW(SmtRes!A236)</f>
        <v>236</v>
      </c>
      <c r="D315">
        <f>ROW(EtalonRes!A236)</f>
        <v>236</v>
      </c>
      <c r="E315" t="s">
        <v>409</v>
      </c>
      <c r="F315" t="s">
        <v>327</v>
      </c>
      <c r="G315" t="s">
        <v>328</v>
      </c>
      <c r="H315" t="s">
        <v>329</v>
      </c>
      <c r="I315">
        <f>ROUND(3.6/100,9)</f>
        <v>3.5999999999999997E-2</v>
      </c>
      <c r="J315">
        <v>0</v>
      </c>
      <c r="K315">
        <f>ROUND(3.6/100,9)</f>
        <v>3.5999999999999997E-2</v>
      </c>
      <c r="O315">
        <f t="shared" ref="O315:O338" si="249">ROUND(CP315,2)</f>
        <v>23235.27</v>
      </c>
      <c r="P315">
        <f t="shared" ref="P315:P338" si="250">ROUND(CQ315*I315,2)</f>
        <v>20744.189999999999</v>
      </c>
      <c r="Q315">
        <f t="shared" ref="Q315:Q338" si="251">ROUND(CR315*I315,2)</f>
        <v>824.95</v>
      </c>
      <c r="R315">
        <f t="shared" ref="R315:R338" si="252">ROUND(CS315*I315,2)</f>
        <v>276.55</v>
      </c>
      <c r="S315">
        <f t="shared" ref="S315:S338" si="253">ROUND(CT315*I315,2)</f>
        <v>1666.13</v>
      </c>
      <c r="T315">
        <f t="shared" ref="T315:T338" si="254">ROUND(CU315*I315,2)</f>
        <v>0</v>
      </c>
      <c r="U315">
        <f t="shared" ref="U315:U338" si="255">CV315*I315</f>
        <v>6.4799999999999995</v>
      </c>
      <c r="V315">
        <f t="shared" ref="V315:V338" si="256">CW315*I315</f>
        <v>0.64799999999999991</v>
      </c>
      <c r="W315">
        <f t="shared" ref="W315:W338" si="257">ROUND(CX315*I315,2)</f>
        <v>0</v>
      </c>
      <c r="X315">
        <f t="shared" ref="X315:X338" si="258">ROUND(CY315,2)</f>
        <v>1981.53</v>
      </c>
      <c r="Y315">
        <f t="shared" ref="Y315:Y338" si="259">ROUND(CZ315,2)</f>
        <v>1126.75</v>
      </c>
      <c r="AA315">
        <v>94798619</v>
      </c>
      <c r="AB315">
        <f t="shared" ref="AB315:AB338" si="260">ROUND((AC315+AD315+AF315),2)</f>
        <v>57993.120000000003</v>
      </c>
      <c r="AC315">
        <f t="shared" ref="AC315:AC338" si="261">ROUND((ES315),2)</f>
        <v>54774.49</v>
      </c>
      <c r="AD315">
        <f t="shared" ref="AD315:AD338" si="262">ROUND((((ET315)-(EU315))+AE315),2)</f>
        <v>1906.43</v>
      </c>
      <c r="AE315">
        <f t="shared" ref="AE315:AE338" si="263">ROUND((EU315),2)</f>
        <v>217.8</v>
      </c>
      <c r="AF315">
        <f t="shared" ref="AF315:AF338" si="264">ROUND((EV315),2)</f>
        <v>1312.2</v>
      </c>
      <c r="AG315">
        <f t="shared" ref="AG315:AG338" si="265">ROUND((AP315),2)</f>
        <v>0</v>
      </c>
      <c r="AH315">
        <f t="shared" ref="AH315:AH338" si="266">(EW315)</f>
        <v>180</v>
      </c>
      <c r="AI315">
        <f t="shared" ref="AI315:AI338" si="267">(EX315)</f>
        <v>18</v>
      </c>
      <c r="AJ315">
        <f t="shared" ref="AJ315:AJ338" si="268">(AS315)</f>
        <v>0</v>
      </c>
      <c r="AK315">
        <v>57993.120000000003</v>
      </c>
      <c r="AL315">
        <v>54774.49</v>
      </c>
      <c r="AM315">
        <v>1906.43</v>
      </c>
      <c r="AN315">
        <v>217.8</v>
      </c>
      <c r="AO315">
        <v>1312.2</v>
      </c>
      <c r="AP315">
        <v>0</v>
      </c>
      <c r="AQ315">
        <v>180</v>
      </c>
      <c r="AR315">
        <v>18</v>
      </c>
      <c r="AS315">
        <v>0</v>
      </c>
      <c r="AT315">
        <v>102</v>
      </c>
      <c r="AU315">
        <v>58</v>
      </c>
      <c r="AV315">
        <v>1</v>
      </c>
      <c r="AW315">
        <v>1</v>
      </c>
      <c r="AZ315">
        <v>1</v>
      </c>
      <c r="BA315">
        <v>35.270000000000003</v>
      </c>
      <c r="BB315">
        <v>12.02</v>
      </c>
      <c r="BC315">
        <v>10.52</v>
      </c>
      <c r="BD315" t="s">
        <v>3</v>
      </c>
      <c r="BE315" t="s">
        <v>3</v>
      </c>
      <c r="BF315" t="s">
        <v>3</v>
      </c>
      <c r="BG315" t="s">
        <v>3</v>
      </c>
      <c r="BH315">
        <v>0</v>
      </c>
      <c r="BI315">
        <v>1</v>
      </c>
      <c r="BJ315" t="s">
        <v>330</v>
      </c>
      <c r="BM315">
        <v>6001</v>
      </c>
      <c r="BN315">
        <v>0</v>
      </c>
      <c r="BO315" t="s">
        <v>327</v>
      </c>
      <c r="BP315">
        <v>1</v>
      </c>
      <c r="BQ315">
        <v>2</v>
      </c>
      <c r="BR315">
        <v>0</v>
      </c>
      <c r="BS315">
        <v>35.270000000000003</v>
      </c>
      <c r="BT315">
        <v>1</v>
      </c>
      <c r="BU315">
        <v>1</v>
      </c>
      <c r="BV315">
        <v>1</v>
      </c>
      <c r="BW315">
        <v>1</v>
      </c>
      <c r="BX315">
        <v>1</v>
      </c>
      <c r="BY315" t="s">
        <v>3</v>
      </c>
      <c r="BZ315">
        <v>102</v>
      </c>
      <c r="CA315">
        <v>58</v>
      </c>
      <c r="CB315" t="s">
        <v>3</v>
      </c>
      <c r="CE315">
        <v>0</v>
      </c>
      <c r="CF315">
        <v>0</v>
      </c>
      <c r="CG315">
        <v>0</v>
      </c>
      <c r="CM315">
        <v>0</v>
      </c>
      <c r="CN315" t="s">
        <v>3</v>
      </c>
      <c r="CO315">
        <v>0</v>
      </c>
      <c r="CP315">
        <f t="shared" ref="CP315:CP338" si="269">(P315+Q315+S315)</f>
        <v>23235.27</v>
      </c>
      <c r="CQ315">
        <f t="shared" ref="CQ315:CQ338" si="270">AC315*BC315</f>
        <v>576227.6348</v>
      </c>
      <c r="CR315">
        <f t="shared" ref="CR315:CR338" si="271">(((ET315)*BB315-(EU315)*BS315)+AE315*BS315)</f>
        <v>22915.2886</v>
      </c>
      <c r="CS315">
        <f t="shared" ref="CS315:CS338" si="272">AE315*BS315</f>
        <v>7681.8060000000014</v>
      </c>
      <c r="CT315">
        <f t="shared" ref="CT315:CT338" si="273">AF315*BA315</f>
        <v>46281.294000000009</v>
      </c>
      <c r="CU315">
        <f t="shared" ref="CU315:CU338" si="274">AG315</f>
        <v>0</v>
      </c>
      <c r="CV315">
        <f t="shared" ref="CV315:CV338" si="275">AH315</f>
        <v>180</v>
      </c>
      <c r="CW315">
        <f t="shared" ref="CW315:CW338" si="276">AI315</f>
        <v>18</v>
      </c>
      <c r="CX315">
        <f t="shared" ref="CX315:CX338" si="277">AJ315</f>
        <v>0</v>
      </c>
      <c r="CY315">
        <f>(((S315+R315)*AT315)/100)</f>
        <v>1981.5336000000002</v>
      </c>
      <c r="CZ315">
        <f>(((S315+R315)*AU315)/100)</f>
        <v>1126.7544</v>
      </c>
      <c r="DC315" t="s">
        <v>3</v>
      </c>
      <c r="DD315" t="s">
        <v>3</v>
      </c>
      <c r="DE315" t="s">
        <v>3</v>
      </c>
      <c r="DF315" t="s">
        <v>3</v>
      </c>
      <c r="DG315" t="s">
        <v>3</v>
      </c>
      <c r="DH315" t="s">
        <v>3</v>
      </c>
      <c r="DI315" t="s">
        <v>3</v>
      </c>
      <c r="DJ315" t="s">
        <v>3</v>
      </c>
      <c r="DK315" t="s">
        <v>3</v>
      </c>
      <c r="DL315" t="s">
        <v>3</v>
      </c>
      <c r="DM315" t="s">
        <v>3</v>
      </c>
      <c r="DN315">
        <v>0</v>
      </c>
      <c r="DO315">
        <v>0</v>
      </c>
      <c r="DP315">
        <v>1</v>
      </c>
      <c r="DQ315">
        <v>1</v>
      </c>
      <c r="DU315">
        <v>1013</v>
      </c>
      <c r="DV315" t="s">
        <v>329</v>
      </c>
      <c r="DW315" t="s">
        <v>329</v>
      </c>
      <c r="DX315">
        <v>1</v>
      </c>
      <c r="DZ315" t="s">
        <v>3</v>
      </c>
      <c r="EA315" t="s">
        <v>3</v>
      </c>
      <c r="EB315" t="s">
        <v>3</v>
      </c>
      <c r="EC315" t="s">
        <v>3</v>
      </c>
      <c r="EE315">
        <v>92109386</v>
      </c>
      <c r="EF315">
        <v>2</v>
      </c>
      <c r="EG315" t="s">
        <v>21</v>
      </c>
      <c r="EH315">
        <v>6</v>
      </c>
      <c r="EI315" t="s">
        <v>331</v>
      </c>
      <c r="EJ315">
        <v>1</v>
      </c>
      <c r="EK315">
        <v>6001</v>
      </c>
      <c r="EL315" t="s">
        <v>331</v>
      </c>
      <c r="EM315" t="s">
        <v>332</v>
      </c>
      <c r="EO315" t="s">
        <v>3</v>
      </c>
      <c r="EQ315">
        <v>0</v>
      </c>
      <c r="ER315">
        <v>57993.120000000003</v>
      </c>
      <c r="ES315">
        <v>54774.49</v>
      </c>
      <c r="ET315">
        <v>1906.43</v>
      </c>
      <c r="EU315">
        <v>217.8</v>
      </c>
      <c r="EV315">
        <v>1312.2</v>
      </c>
      <c r="EW315">
        <v>180</v>
      </c>
      <c r="EX315">
        <v>18</v>
      </c>
      <c r="EY315">
        <v>0</v>
      </c>
      <c r="FQ315">
        <v>0</v>
      </c>
      <c r="FR315">
        <f t="shared" ref="FR315:FR338" si="278">ROUND(IF(BI315=3,GM315,0),2)</f>
        <v>0</v>
      </c>
      <c r="FS315">
        <v>0</v>
      </c>
      <c r="FX315">
        <v>102</v>
      </c>
      <c r="FY315">
        <v>58</v>
      </c>
      <c r="GA315" t="s">
        <v>3</v>
      </c>
      <c r="GD315">
        <v>1</v>
      </c>
      <c r="GF315">
        <v>-887114588</v>
      </c>
      <c r="GG315">
        <v>2</v>
      </c>
      <c r="GH315">
        <v>1</v>
      </c>
      <c r="GI315">
        <v>2</v>
      </c>
      <c r="GJ315">
        <v>0</v>
      </c>
      <c r="GK315">
        <v>0</v>
      </c>
      <c r="GL315">
        <f t="shared" ref="GL315:GL338" si="279">ROUND(IF(AND(BH315=3,BI315=3,FS315&lt;&gt;0),P315,0),2)</f>
        <v>0</v>
      </c>
      <c r="GM315">
        <f t="shared" ref="GM315:GM338" si="280">ROUND(O315+X315+Y315,2)+GX315</f>
        <v>26343.55</v>
      </c>
      <c r="GN315">
        <f t="shared" ref="GN315:GN338" si="281">IF(OR(BI315=0,BI315=1),GM315-GX315,0)</f>
        <v>26343.55</v>
      </c>
      <c r="GO315">
        <f t="shared" ref="GO315:GO338" si="282">IF(BI315=2,GM315-GX315,0)</f>
        <v>0</v>
      </c>
      <c r="GP315">
        <f t="shared" ref="GP315:GP338" si="283">IF(BI315=4,GM315-GX315,0)</f>
        <v>0</v>
      </c>
      <c r="GR315">
        <v>0</v>
      </c>
      <c r="GS315">
        <v>3</v>
      </c>
      <c r="GT315">
        <v>0</v>
      </c>
      <c r="GU315" t="s">
        <v>3</v>
      </c>
      <c r="GV315">
        <f t="shared" ref="GV315:GV338" si="284">ROUND((GT315),2)</f>
        <v>0</v>
      </c>
      <c r="GW315">
        <v>1</v>
      </c>
      <c r="GX315">
        <f t="shared" ref="GX315:GX338" si="285">ROUND(HC315*I315,2)</f>
        <v>0</v>
      </c>
      <c r="HA315">
        <v>0</v>
      </c>
      <c r="HB315">
        <v>0</v>
      </c>
      <c r="HC315">
        <f t="shared" ref="HC315:HC338" si="286">GV315*GW315</f>
        <v>0</v>
      </c>
      <c r="HE315" t="s">
        <v>3</v>
      </c>
      <c r="HF315" t="s">
        <v>3</v>
      </c>
      <c r="HM315" t="s">
        <v>3</v>
      </c>
      <c r="HN315" t="s">
        <v>333</v>
      </c>
      <c r="HO315" t="s">
        <v>334</v>
      </c>
      <c r="HP315" t="s">
        <v>331</v>
      </c>
      <c r="HQ315" t="s">
        <v>331</v>
      </c>
      <c r="IK315">
        <v>0</v>
      </c>
    </row>
    <row r="316" spans="1:245" x14ac:dyDescent="0.2">
      <c r="A316">
        <v>18</v>
      </c>
      <c r="B316">
        <v>1</v>
      </c>
      <c r="C316">
        <v>235</v>
      </c>
      <c r="E316" t="s">
        <v>410</v>
      </c>
      <c r="F316" t="s">
        <v>336</v>
      </c>
      <c r="G316" t="s">
        <v>337</v>
      </c>
      <c r="H316" t="s">
        <v>52</v>
      </c>
      <c r="I316">
        <f>I315*J316</f>
        <v>-3.6719999999999997</v>
      </c>
      <c r="J316">
        <v>-102</v>
      </c>
      <c r="K316">
        <v>-102</v>
      </c>
      <c r="O316">
        <f t="shared" si="249"/>
        <v>-20267.09</v>
      </c>
      <c r="P316">
        <f t="shared" si="250"/>
        <v>-20267.09</v>
      </c>
      <c r="Q316">
        <f t="shared" si="251"/>
        <v>0</v>
      </c>
      <c r="R316">
        <f t="shared" si="252"/>
        <v>0</v>
      </c>
      <c r="S316">
        <f t="shared" si="253"/>
        <v>0</v>
      </c>
      <c r="T316">
        <f t="shared" si="254"/>
        <v>0</v>
      </c>
      <c r="U316">
        <f t="shared" si="255"/>
        <v>0</v>
      </c>
      <c r="V316">
        <f t="shared" si="256"/>
        <v>0</v>
      </c>
      <c r="W316">
        <f t="shared" si="257"/>
        <v>0</v>
      </c>
      <c r="X316">
        <f t="shared" si="258"/>
        <v>0</v>
      </c>
      <c r="Y316">
        <f t="shared" si="259"/>
        <v>0</v>
      </c>
      <c r="AA316">
        <v>94798619</v>
      </c>
      <c r="AB316">
        <f t="shared" si="260"/>
        <v>512</v>
      </c>
      <c r="AC316">
        <f t="shared" si="261"/>
        <v>512</v>
      </c>
      <c r="AD316">
        <f t="shared" si="262"/>
        <v>0</v>
      </c>
      <c r="AE316">
        <f t="shared" si="263"/>
        <v>0</v>
      </c>
      <c r="AF316">
        <f t="shared" si="264"/>
        <v>0</v>
      </c>
      <c r="AG316">
        <f t="shared" si="265"/>
        <v>0</v>
      </c>
      <c r="AH316">
        <f t="shared" si="266"/>
        <v>0</v>
      </c>
      <c r="AI316">
        <f t="shared" si="267"/>
        <v>0</v>
      </c>
      <c r="AJ316">
        <f t="shared" si="268"/>
        <v>0</v>
      </c>
      <c r="AK316">
        <v>512</v>
      </c>
      <c r="AL316">
        <v>512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102</v>
      </c>
      <c r="AU316">
        <v>58</v>
      </c>
      <c r="AV316">
        <v>1</v>
      </c>
      <c r="AW316">
        <v>1</v>
      </c>
      <c r="AZ316">
        <v>1</v>
      </c>
      <c r="BA316">
        <v>1</v>
      </c>
      <c r="BB316">
        <v>1</v>
      </c>
      <c r="BC316">
        <v>10.78</v>
      </c>
      <c r="BD316" t="s">
        <v>3</v>
      </c>
      <c r="BE316" t="s">
        <v>3</v>
      </c>
      <c r="BF316" t="s">
        <v>3</v>
      </c>
      <c r="BG316" t="s">
        <v>3</v>
      </c>
      <c r="BH316">
        <v>3</v>
      </c>
      <c r="BI316">
        <v>1</v>
      </c>
      <c r="BJ316" t="s">
        <v>338</v>
      </c>
      <c r="BM316">
        <v>6001</v>
      </c>
      <c r="BN316">
        <v>0</v>
      </c>
      <c r="BO316" t="s">
        <v>336</v>
      </c>
      <c r="BP316">
        <v>1</v>
      </c>
      <c r="BQ316">
        <v>2</v>
      </c>
      <c r="BR316">
        <v>1</v>
      </c>
      <c r="BS316">
        <v>1</v>
      </c>
      <c r="BT316">
        <v>1</v>
      </c>
      <c r="BU316">
        <v>1</v>
      </c>
      <c r="BV316">
        <v>1</v>
      </c>
      <c r="BW316">
        <v>1</v>
      </c>
      <c r="BX316">
        <v>1</v>
      </c>
      <c r="BY316" t="s">
        <v>3</v>
      </c>
      <c r="BZ316">
        <v>102</v>
      </c>
      <c r="CA316">
        <v>58</v>
      </c>
      <c r="CB316" t="s">
        <v>3</v>
      </c>
      <c r="CE316">
        <v>0</v>
      </c>
      <c r="CF316">
        <v>0</v>
      </c>
      <c r="CG316">
        <v>0</v>
      </c>
      <c r="CM316">
        <v>0</v>
      </c>
      <c r="CN316" t="s">
        <v>3</v>
      </c>
      <c r="CO316">
        <v>0</v>
      </c>
      <c r="CP316">
        <f t="shared" si="269"/>
        <v>-20267.09</v>
      </c>
      <c r="CQ316">
        <f t="shared" si="270"/>
        <v>5519.36</v>
      </c>
      <c r="CR316">
        <f t="shared" si="271"/>
        <v>0</v>
      </c>
      <c r="CS316">
        <f t="shared" si="272"/>
        <v>0</v>
      </c>
      <c r="CT316">
        <f t="shared" si="273"/>
        <v>0</v>
      </c>
      <c r="CU316">
        <f t="shared" si="274"/>
        <v>0</v>
      </c>
      <c r="CV316">
        <f t="shared" si="275"/>
        <v>0</v>
      </c>
      <c r="CW316">
        <f t="shared" si="276"/>
        <v>0</v>
      </c>
      <c r="CX316">
        <f t="shared" si="277"/>
        <v>0</v>
      </c>
      <c r="CY316">
        <f>(((S316+R316)*AT316)/100)</f>
        <v>0</v>
      </c>
      <c r="CZ316">
        <f>(((S316+R316)*AU316)/100)</f>
        <v>0</v>
      </c>
      <c r="DC316" t="s">
        <v>3</v>
      </c>
      <c r="DD316" t="s">
        <v>3</v>
      </c>
      <c r="DE316" t="s">
        <v>3</v>
      </c>
      <c r="DF316" t="s">
        <v>3</v>
      </c>
      <c r="DG316" t="s">
        <v>3</v>
      </c>
      <c r="DH316" t="s">
        <v>3</v>
      </c>
      <c r="DI316" t="s">
        <v>3</v>
      </c>
      <c r="DJ316" t="s">
        <v>3</v>
      </c>
      <c r="DK316" t="s">
        <v>3</v>
      </c>
      <c r="DL316" t="s">
        <v>3</v>
      </c>
      <c r="DM316" t="s">
        <v>3</v>
      </c>
      <c r="DN316">
        <v>0</v>
      </c>
      <c r="DO316">
        <v>0</v>
      </c>
      <c r="DP316">
        <v>1</v>
      </c>
      <c r="DQ316">
        <v>1</v>
      </c>
      <c r="DU316">
        <v>1007</v>
      </c>
      <c r="DV316" t="s">
        <v>52</v>
      </c>
      <c r="DW316" t="s">
        <v>52</v>
      </c>
      <c r="DX316">
        <v>1</v>
      </c>
      <c r="DZ316" t="s">
        <v>3</v>
      </c>
      <c r="EA316" t="s">
        <v>3</v>
      </c>
      <c r="EB316" t="s">
        <v>3</v>
      </c>
      <c r="EC316" t="s">
        <v>3</v>
      </c>
      <c r="EE316">
        <v>92109386</v>
      </c>
      <c r="EF316">
        <v>2</v>
      </c>
      <c r="EG316" t="s">
        <v>21</v>
      </c>
      <c r="EH316">
        <v>6</v>
      </c>
      <c r="EI316" t="s">
        <v>331</v>
      </c>
      <c r="EJ316">
        <v>1</v>
      </c>
      <c r="EK316">
        <v>6001</v>
      </c>
      <c r="EL316" t="s">
        <v>331</v>
      </c>
      <c r="EM316" t="s">
        <v>332</v>
      </c>
      <c r="EO316" t="s">
        <v>3</v>
      </c>
      <c r="EQ316">
        <v>0</v>
      </c>
      <c r="ER316">
        <v>512</v>
      </c>
      <c r="ES316">
        <v>512</v>
      </c>
      <c r="ET316">
        <v>0</v>
      </c>
      <c r="EU316">
        <v>0</v>
      </c>
      <c r="EV316">
        <v>0</v>
      </c>
      <c r="EW316">
        <v>0</v>
      </c>
      <c r="EX316">
        <v>0</v>
      </c>
      <c r="FQ316">
        <v>0</v>
      </c>
      <c r="FR316">
        <f t="shared" si="278"/>
        <v>0</v>
      </c>
      <c r="FS316">
        <v>0</v>
      </c>
      <c r="FX316">
        <v>102</v>
      </c>
      <c r="FY316">
        <v>58</v>
      </c>
      <c r="GA316" t="s">
        <v>3</v>
      </c>
      <c r="GD316">
        <v>1</v>
      </c>
      <c r="GF316">
        <v>44938050</v>
      </c>
      <c r="GG316">
        <v>2</v>
      </c>
      <c r="GH316">
        <v>1</v>
      </c>
      <c r="GI316">
        <v>2</v>
      </c>
      <c r="GJ316">
        <v>0</v>
      </c>
      <c r="GK316">
        <v>0</v>
      </c>
      <c r="GL316">
        <f t="shared" si="279"/>
        <v>0</v>
      </c>
      <c r="GM316">
        <f t="shared" si="280"/>
        <v>-20267.09</v>
      </c>
      <c r="GN316">
        <f t="shared" si="281"/>
        <v>-20267.09</v>
      </c>
      <c r="GO316">
        <f t="shared" si="282"/>
        <v>0</v>
      </c>
      <c r="GP316">
        <f t="shared" si="283"/>
        <v>0</v>
      </c>
      <c r="GR316">
        <v>0</v>
      </c>
      <c r="GS316">
        <v>3</v>
      </c>
      <c r="GT316">
        <v>0</v>
      </c>
      <c r="GU316" t="s">
        <v>3</v>
      </c>
      <c r="GV316">
        <f t="shared" si="284"/>
        <v>0</v>
      </c>
      <c r="GW316">
        <v>1</v>
      </c>
      <c r="GX316">
        <f t="shared" si="285"/>
        <v>0</v>
      </c>
      <c r="HA316">
        <v>0</v>
      </c>
      <c r="HB316">
        <v>0</v>
      </c>
      <c r="HC316">
        <f t="shared" si="286"/>
        <v>0</v>
      </c>
      <c r="HE316" t="s">
        <v>3</v>
      </c>
      <c r="HF316" t="s">
        <v>3</v>
      </c>
      <c r="HM316" t="s">
        <v>3</v>
      </c>
      <c r="HN316" t="s">
        <v>333</v>
      </c>
      <c r="HO316" t="s">
        <v>334</v>
      </c>
      <c r="HP316" t="s">
        <v>331</v>
      </c>
      <c r="HQ316" t="s">
        <v>331</v>
      </c>
      <c r="IK316">
        <v>0</v>
      </c>
    </row>
    <row r="317" spans="1:245" x14ac:dyDescent="0.2">
      <c r="A317">
        <v>17</v>
      </c>
      <c r="B317">
        <v>1</v>
      </c>
      <c r="E317" t="s">
        <v>411</v>
      </c>
      <c r="F317" t="s">
        <v>412</v>
      </c>
      <c r="G317" t="s">
        <v>413</v>
      </c>
      <c r="H317" t="s">
        <v>52</v>
      </c>
      <c r="I317">
        <v>3.6720000000000002</v>
      </c>
      <c r="J317">
        <v>0</v>
      </c>
      <c r="K317">
        <v>3.6720000000000002</v>
      </c>
      <c r="O317">
        <f t="shared" si="249"/>
        <v>25940.04</v>
      </c>
      <c r="P317">
        <f t="shared" si="250"/>
        <v>25940.04</v>
      </c>
      <c r="Q317">
        <f t="shared" si="251"/>
        <v>0</v>
      </c>
      <c r="R317">
        <f t="shared" si="252"/>
        <v>0</v>
      </c>
      <c r="S317">
        <f t="shared" si="253"/>
        <v>0</v>
      </c>
      <c r="T317">
        <f t="shared" si="254"/>
        <v>0</v>
      </c>
      <c r="U317">
        <f t="shared" si="255"/>
        <v>0</v>
      </c>
      <c r="V317">
        <f t="shared" si="256"/>
        <v>0</v>
      </c>
      <c r="W317">
        <f t="shared" si="257"/>
        <v>0</v>
      </c>
      <c r="X317">
        <f t="shared" si="258"/>
        <v>0</v>
      </c>
      <c r="Y317">
        <f t="shared" si="259"/>
        <v>0</v>
      </c>
      <c r="AA317">
        <v>94798619</v>
      </c>
      <c r="AB317">
        <f t="shared" si="260"/>
        <v>633</v>
      </c>
      <c r="AC317">
        <f t="shared" si="261"/>
        <v>633</v>
      </c>
      <c r="AD317">
        <f t="shared" si="262"/>
        <v>0</v>
      </c>
      <c r="AE317">
        <f t="shared" si="263"/>
        <v>0</v>
      </c>
      <c r="AF317">
        <f t="shared" si="264"/>
        <v>0</v>
      </c>
      <c r="AG317">
        <f t="shared" si="265"/>
        <v>0</v>
      </c>
      <c r="AH317">
        <f t="shared" si="266"/>
        <v>0</v>
      </c>
      <c r="AI317">
        <f t="shared" si="267"/>
        <v>0</v>
      </c>
      <c r="AJ317">
        <f t="shared" si="268"/>
        <v>0</v>
      </c>
      <c r="AK317">
        <v>633</v>
      </c>
      <c r="AL317">
        <v>633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1</v>
      </c>
      <c r="AW317">
        <v>1</v>
      </c>
      <c r="AZ317">
        <v>1</v>
      </c>
      <c r="BA317">
        <v>1</v>
      </c>
      <c r="BB317">
        <v>1</v>
      </c>
      <c r="BC317">
        <v>11.16</v>
      </c>
      <c r="BD317" t="s">
        <v>3</v>
      </c>
      <c r="BE317" t="s">
        <v>3</v>
      </c>
      <c r="BF317" t="s">
        <v>3</v>
      </c>
      <c r="BG317" t="s">
        <v>3</v>
      </c>
      <c r="BH317">
        <v>3</v>
      </c>
      <c r="BI317">
        <v>1</v>
      </c>
      <c r="BJ317" t="s">
        <v>414</v>
      </c>
      <c r="BM317">
        <v>500001</v>
      </c>
      <c r="BN317">
        <v>0</v>
      </c>
      <c r="BO317" t="s">
        <v>412</v>
      </c>
      <c r="BP317">
        <v>1</v>
      </c>
      <c r="BQ317">
        <v>8</v>
      </c>
      <c r="BR317">
        <v>0</v>
      </c>
      <c r="BS317">
        <v>1</v>
      </c>
      <c r="BT317">
        <v>1</v>
      </c>
      <c r="BU317">
        <v>1</v>
      </c>
      <c r="BV317">
        <v>1</v>
      </c>
      <c r="BW317">
        <v>1</v>
      </c>
      <c r="BX317">
        <v>1</v>
      </c>
      <c r="BY317" t="s">
        <v>3</v>
      </c>
      <c r="BZ317">
        <v>0</v>
      </c>
      <c r="CA317">
        <v>0</v>
      </c>
      <c r="CB317" t="s">
        <v>3</v>
      </c>
      <c r="CE317">
        <v>0</v>
      </c>
      <c r="CF317">
        <v>0</v>
      </c>
      <c r="CG317">
        <v>0</v>
      </c>
      <c r="CM317">
        <v>0</v>
      </c>
      <c r="CN317" t="s">
        <v>3</v>
      </c>
      <c r="CO317">
        <v>0</v>
      </c>
      <c r="CP317">
        <f t="shared" si="269"/>
        <v>25940.04</v>
      </c>
      <c r="CQ317">
        <f t="shared" si="270"/>
        <v>7064.28</v>
      </c>
      <c r="CR317">
        <f t="shared" si="271"/>
        <v>0</v>
      </c>
      <c r="CS317">
        <f t="shared" si="272"/>
        <v>0</v>
      </c>
      <c r="CT317">
        <f t="shared" si="273"/>
        <v>0</v>
      </c>
      <c r="CU317">
        <f t="shared" si="274"/>
        <v>0</v>
      </c>
      <c r="CV317">
        <f t="shared" si="275"/>
        <v>0</v>
      </c>
      <c r="CW317">
        <f t="shared" si="276"/>
        <v>0</v>
      </c>
      <c r="CX317">
        <f t="shared" si="277"/>
        <v>0</v>
      </c>
      <c r="CY317">
        <f>0</f>
        <v>0</v>
      </c>
      <c r="CZ317">
        <f>0</f>
        <v>0</v>
      </c>
      <c r="DC317" t="s">
        <v>3</v>
      </c>
      <c r="DD317" t="s">
        <v>3</v>
      </c>
      <c r="DE317" t="s">
        <v>3</v>
      </c>
      <c r="DF317" t="s">
        <v>3</v>
      </c>
      <c r="DG317" t="s">
        <v>3</v>
      </c>
      <c r="DH317" t="s">
        <v>3</v>
      </c>
      <c r="DI317" t="s">
        <v>3</v>
      </c>
      <c r="DJ317" t="s">
        <v>3</v>
      </c>
      <c r="DK317" t="s">
        <v>3</v>
      </c>
      <c r="DL317" t="s">
        <v>3</v>
      </c>
      <c r="DM317" t="s">
        <v>3</v>
      </c>
      <c r="DN317">
        <v>0</v>
      </c>
      <c r="DO317">
        <v>0</v>
      </c>
      <c r="DP317">
        <v>1</v>
      </c>
      <c r="DQ317">
        <v>1</v>
      </c>
      <c r="DU317">
        <v>1007</v>
      </c>
      <c r="DV317" t="s">
        <v>52</v>
      </c>
      <c r="DW317" t="s">
        <v>52</v>
      </c>
      <c r="DX317">
        <v>1</v>
      </c>
      <c r="DZ317" t="s">
        <v>3</v>
      </c>
      <c r="EA317" t="s">
        <v>3</v>
      </c>
      <c r="EB317" t="s">
        <v>3</v>
      </c>
      <c r="EC317" t="s">
        <v>3</v>
      </c>
      <c r="EE317">
        <v>92109332</v>
      </c>
      <c r="EF317">
        <v>8</v>
      </c>
      <c r="EG317" t="s">
        <v>154</v>
      </c>
      <c r="EH317">
        <v>0</v>
      </c>
      <c r="EI317" t="s">
        <v>3</v>
      </c>
      <c r="EJ317">
        <v>1</v>
      </c>
      <c r="EK317">
        <v>500001</v>
      </c>
      <c r="EL317" t="s">
        <v>155</v>
      </c>
      <c r="EM317" t="s">
        <v>156</v>
      </c>
      <c r="EO317" t="s">
        <v>3</v>
      </c>
      <c r="EQ317">
        <v>0</v>
      </c>
      <c r="ER317">
        <v>633</v>
      </c>
      <c r="ES317">
        <v>633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FQ317">
        <v>0</v>
      </c>
      <c r="FR317">
        <f t="shared" si="278"/>
        <v>0</v>
      </c>
      <c r="FS317">
        <v>0</v>
      </c>
      <c r="FX317">
        <v>0</v>
      </c>
      <c r="FY317">
        <v>0</v>
      </c>
      <c r="GA317" t="s">
        <v>3</v>
      </c>
      <c r="GD317">
        <v>1</v>
      </c>
      <c r="GF317">
        <v>-1056028514</v>
      </c>
      <c r="GG317">
        <v>2</v>
      </c>
      <c r="GH317">
        <v>1</v>
      </c>
      <c r="GI317">
        <v>2</v>
      </c>
      <c r="GJ317">
        <v>0</v>
      </c>
      <c r="GK317">
        <v>0</v>
      </c>
      <c r="GL317">
        <f t="shared" si="279"/>
        <v>0</v>
      </c>
      <c r="GM317">
        <f t="shared" si="280"/>
        <v>25940.04</v>
      </c>
      <c r="GN317">
        <f t="shared" si="281"/>
        <v>25940.04</v>
      </c>
      <c r="GO317">
        <f t="shared" si="282"/>
        <v>0</v>
      </c>
      <c r="GP317">
        <f t="shared" si="283"/>
        <v>0</v>
      </c>
      <c r="GR317">
        <v>0</v>
      </c>
      <c r="GS317">
        <v>3</v>
      </c>
      <c r="GT317">
        <v>0</v>
      </c>
      <c r="GU317" t="s">
        <v>3</v>
      </c>
      <c r="GV317">
        <f t="shared" si="284"/>
        <v>0</v>
      </c>
      <c r="GW317">
        <v>1</v>
      </c>
      <c r="GX317">
        <f t="shared" si="285"/>
        <v>0</v>
      </c>
      <c r="HA317">
        <v>0</v>
      </c>
      <c r="HB317">
        <v>0</v>
      </c>
      <c r="HC317">
        <f t="shared" si="286"/>
        <v>0</v>
      </c>
      <c r="HE317" t="s">
        <v>3</v>
      </c>
      <c r="HF317" t="s">
        <v>3</v>
      </c>
      <c r="HM317" t="s">
        <v>3</v>
      </c>
      <c r="HN317" t="s">
        <v>3</v>
      </c>
      <c r="HO317" t="s">
        <v>3</v>
      </c>
      <c r="HP317" t="s">
        <v>3</v>
      </c>
      <c r="HQ317" t="s">
        <v>3</v>
      </c>
      <c r="IK317">
        <v>0</v>
      </c>
    </row>
    <row r="318" spans="1:245" x14ac:dyDescent="0.2">
      <c r="A318">
        <v>17</v>
      </c>
      <c r="B318">
        <v>1</v>
      </c>
      <c r="C318">
        <f>ROW(SmtRes!A254)</f>
        <v>254</v>
      </c>
      <c r="D318">
        <f>ROW(EtalonRes!A254)</f>
        <v>254</v>
      </c>
      <c r="E318" t="s">
        <v>415</v>
      </c>
      <c r="F318" t="s">
        <v>416</v>
      </c>
      <c r="G318" t="s">
        <v>417</v>
      </c>
      <c r="H318" t="s">
        <v>329</v>
      </c>
      <c r="I318">
        <f>ROUND(0.48/100,9)</f>
        <v>4.7999999999999996E-3</v>
      </c>
      <c r="J318">
        <v>0</v>
      </c>
      <c r="K318">
        <f>ROUND(0.48/100,9)</f>
        <v>4.7999999999999996E-3</v>
      </c>
      <c r="O318">
        <f t="shared" si="249"/>
        <v>6517.3</v>
      </c>
      <c r="P318">
        <f t="shared" si="250"/>
        <v>5258.59</v>
      </c>
      <c r="Q318">
        <f t="shared" si="251"/>
        <v>198.33</v>
      </c>
      <c r="R318">
        <f t="shared" si="252"/>
        <v>63.96</v>
      </c>
      <c r="S318">
        <f t="shared" si="253"/>
        <v>1060.3800000000001</v>
      </c>
      <c r="T318">
        <f t="shared" si="254"/>
        <v>0</v>
      </c>
      <c r="U318">
        <f t="shared" si="255"/>
        <v>3.7722239999999996</v>
      </c>
      <c r="V318">
        <f t="shared" si="256"/>
        <v>0.15023999999999998</v>
      </c>
      <c r="W318">
        <f t="shared" si="257"/>
        <v>0</v>
      </c>
      <c r="X318">
        <f t="shared" si="258"/>
        <v>1146.83</v>
      </c>
      <c r="Y318">
        <f t="shared" si="259"/>
        <v>652.12</v>
      </c>
      <c r="AA318">
        <v>94798619</v>
      </c>
      <c r="AB318">
        <f t="shared" si="260"/>
        <v>104805.74</v>
      </c>
      <c r="AC318">
        <f t="shared" si="261"/>
        <v>95098.98</v>
      </c>
      <c r="AD318">
        <f t="shared" si="262"/>
        <v>3443.3</v>
      </c>
      <c r="AE318">
        <f t="shared" si="263"/>
        <v>377.79</v>
      </c>
      <c r="AF318">
        <f t="shared" si="264"/>
        <v>6263.46</v>
      </c>
      <c r="AG318">
        <f t="shared" si="265"/>
        <v>0</v>
      </c>
      <c r="AH318">
        <f t="shared" si="266"/>
        <v>785.88</v>
      </c>
      <c r="AI318">
        <f t="shared" si="267"/>
        <v>31.3</v>
      </c>
      <c r="AJ318">
        <f t="shared" si="268"/>
        <v>0</v>
      </c>
      <c r="AK318">
        <v>104805.74</v>
      </c>
      <c r="AL318">
        <v>95098.98</v>
      </c>
      <c r="AM318">
        <v>3443.3</v>
      </c>
      <c r="AN318">
        <v>377.79</v>
      </c>
      <c r="AO318">
        <v>6263.46</v>
      </c>
      <c r="AP318">
        <v>0</v>
      </c>
      <c r="AQ318">
        <v>785.88</v>
      </c>
      <c r="AR318">
        <v>31.3</v>
      </c>
      <c r="AS318">
        <v>0</v>
      </c>
      <c r="AT318">
        <v>102</v>
      </c>
      <c r="AU318">
        <v>58</v>
      </c>
      <c r="AV318">
        <v>1</v>
      </c>
      <c r="AW318">
        <v>1</v>
      </c>
      <c r="AZ318">
        <v>1</v>
      </c>
      <c r="BA318">
        <v>35.270000000000003</v>
      </c>
      <c r="BB318">
        <v>12</v>
      </c>
      <c r="BC318">
        <v>11.52</v>
      </c>
      <c r="BD318" t="s">
        <v>3</v>
      </c>
      <c r="BE318" t="s">
        <v>3</v>
      </c>
      <c r="BF318" t="s">
        <v>3</v>
      </c>
      <c r="BG318" t="s">
        <v>3</v>
      </c>
      <c r="BH318">
        <v>0</v>
      </c>
      <c r="BI318">
        <v>1</v>
      </c>
      <c r="BJ318" t="s">
        <v>418</v>
      </c>
      <c r="BM318">
        <v>6001</v>
      </c>
      <c r="BN318">
        <v>0</v>
      </c>
      <c r="BO318" t="s">
        <v>416</v>
      </c>
      <c r="BP318">
        <v>1</v>
      </c>
      <c r="BQ318">
        <v>2</v>
      </c>
      <c r="BR318">
        <v>0</v>
      </c>
      <c r="BS318">
        <v>35.270000000000003</v>
      </c>
      <c r="BT318">
        <v>1</v>
      </c>
      <c r="BU318">
        <v>1</v>
      </c>
      <c r="BV318">
        <v>1</v>
      </c>
      <c r="BW318">
        <v>1</v>
      </c>
      <c r="BX318">
        <v>1</v>
      </c>
      <c r="BY318" t="s">
        <v>3</v>
      </c>
      <c r="BZ318">
        <v>102</v>
      </c>
      <c r="CA318">
        <v>58</v>
      </c>
      <c r="CB318" t="s">
        <v>3</v>
      </c>
      <c r="CE318">
        <v>0</v>
      </c>
      <c r="CF318">
        <v>0</v>
      </c>
      <c r="CG318">
        <v>0</v>
      </c>
      <c r="CM318">
        <v>0</v>
      </c>
      <c r="CN318" t="s">
        <v>3</v>
      </c>
      <c r="CO318">
        <v>0</v>
      </c>
      <c r="CP318">
        <f t="shared" si="269"/>
        <v>6517.3</v>
      </c>
      <c r="CQ318">
        <f t="shared" si="270"/>
        <v>1095540.2496</v>
      </c>
      <c r="CR318">
        <f t="shared" si="271"/>
        <v>41319.600000000006</v>
      </c>
      <c r="CS318">
        <f t="shared" si="272"/>
        <v>13324.653300000002</v>
      </c>
      <c r="CT318">
        <f t="shared" si="273"/>
        <v>220912.23420000004</v>
      </c>
      <c r="CU318">
        <f t="shared" si="274"/>
        <v>0</v>
      </c>
      <c r="CV318">
        <f t="shared" si="275"/>
        <v>785.88</v>
      </c>
      <c r="CW318">
        <f t="shared" si="276"/>
        <v>31.3</v>
      </c>
      <c r="CX318">
        <f t="shared" si="277"/>
        <v>0</v>
      </c>
      <c r="CY318">
        <f t="shared" ref="CY318:CY325" si="287">(((S318+R318)*AT318)/100)</f>
        <v>1146.8268000000003</v>
      </c>
      <c r="CZ318">
        <f t="shared" ref="CZ318:CZ325" si="288">(((S318+R318)*AU318)/100)</f>
        <v>652.11720000000014</v>
      </c>
      <c r="DC318" t="s">
        <v>3</v>
      </c>
      <c r="DD318" t="s">
        <v>3</v>
      </c>
      <c r="DE318" t="s">
        <v>3</v>
      </c>
      <c r="DF318" t="s">
        <v>3</v>
      </c>
      <c r="DG318" t="s">
        <v>3</v>
      </c>
      <c r="DH318" t="s">
        <v>3</v>
      </c>
      <c r="DI318" t="s">
        <v>3</v>
      </c>
      <c r="DJ318" t="s">
        <v>3</v>
      </c>
      <c r="DK318" t="s">
        <v>3</v>
      </c>
      <c r="DL318" t="s">
        <v>3</v>
      </c>
      <c r="DM318" t="s">
        <v>3</v>
      </c>
      <c r="DN318">
        <v>0</v>
      </c>
      <c r="DO318">
        <v>0</v>
      </c>
      <c r="DP318">
        <v>1</v>
      </c>
      <c r="DQ318">
        <v>1</v>
      </c>
      <c r="DU318">
        <v>1013</v>
      </c>
      <c r="DV318" t="s">
        <v>329</v>
      </c>
      <c r="DW318" t="s">
        <v>329</v>
      </c>
      <c r="DX318">
        <v>1</v>
      </c>
      <c r="DZ318" t="s">
        <v>3</v>
      </c>
      <c r="EA318" t="s">
        <v>3</v>
      </c>
      <c r="EB318" t="s">
        <v>3</v>
      </c>
      <c r="EC318" t="s">
        <v>3</v>
      </c>
      <c r="EE318">
        <v>92109386</v>
      </c>
      <c r="EF318">
        <v>2</v>
      </c>
      <c r="EG318" t="s">
        <v>21</v>
      </c>
      <c r="EH318">
        <v>6</v>
      </c>
      <c r="EI318" t="s">
        <v>331</v>
      </c>
      <c r="EJ318">
        <v>1</v>
      </c>
      <c r="EK318">
        <v>6001</v>
      </c>
      <c r="EL318" t="s">
        <v>331</v>
      </c>
      <c r="EM318" t="s">
        <v>332</v>
      </c>
      <c r="EO318" t="s">
        <v>3</v>
      </c>
      <c r="EQ318">
        <v>0</v>
      </c>
      <c r="ER318">
        <v>104805.74</v>
      </c>
      <c r="ES318">
        <v>95098.98</v>
      </c>
      <c r="ET318">
        <v>3443.3</v>
      </c>
      <c r="EU318">
        <v>377.79</v>
      </c>
      <c r="EV318">
        <v>6263.46</v>
      </c>
      <c r="EW318">
        <v>785.88</v>
      </c>
      <c r="EX318">
        <v>31.3</v>
      </c>
      <c r="EY318">
        <v>0</v>
      </c>
      <c r="FQ318">
        <v>0</v>
      </c>
      <c r="FR318">
        <f t="shared" si="278"/>
        <v>0</v>
      </c>
      <c r="FS318">
        <v>0</v>
      </c>
      <c r="FX318">
        <v>102</v>
      </c>
      <c r="FY318">
        <v>58</v>
      </c>
      <c r="GA318" t="s">
        <v>3</v>
      </c>
      <c r="GD318">
        <v>1</v>
      </c>
      <c r="GF318">
        <v>-441348006</v>
      </c>
      <c r="GG318">
        <v>2</v>
      </c>
      <c r="GH318">
        <v>1</v>
      </c>
      <c r="GI318">
        <v>2</v>
      </c>
      <c r="GJ318">
        <v>0</v>
      </c>
      <c r="GK318">
        <v>0</v>
      </c>
      <c r="GL318">
        <f t="shared" si="279"/>
        <v>0</v>
      </c>
      <c r="GM318">
        <f t="shared" si="280"/>
        <v>8316.25</v>
      </c>
      <c r="GN318">
        <f t="shared" si="281"/>
        <v>8316.25</v>
      </c>
      <c r="GO318">
        <f t="shared" si="282"/>
        <v>0</v>
      </c>
      <c r="GP318">
        <f t="shared" si="283"/>
        <v>0</v>
      </c>
      <c r="GR318">
        <v>0</v>
      </c>
      <c r="GS318">
        <v>0</v>
      </c>
      <c r="GT318">
        <v>0</v>
      </c>
      <c r="GU318" t="s">
        <v>3</v>
      </c>
      <c r="GV318">
        <f t="shared" si="284"/>
        <v>0</v>
      </c>
      <c r="GW318">
        <v>1</v>
      </c>
      <c r="GX318">
        <f t="shared" si="285"/>
        <v>0</v>
      </c>
      <c r="HA318">
        <v>0</v>
      </c>
      <c r="HB318">
        <v>0</v>
      </c>
      <c r="HC318">
        <f t="shared" si="286"/>
        <v>0</v>
      </c>
      <c r="HE318" t="s">
        <v>3</v>
      </c>
      <c r="HF318" t="s">
        <v>3</v>
      </c>
      <c r="HM318" t="s">
        <v>3</v>
      </c>
      <c r="HN318" t="s">
        <v>333</v>
      </c>
      <c r="HO318" t="s">
        <v>334</v>
      </c>
      <c r="HP318" t="s">
        <v>331</v>
      </c>
      <c r="HQ318" t="s">
        <v>331</v>
      </c>
      <c r="IK318">
        <v>0</v>
      </c>
    </row>
    <row r="319" spans="1:245" x14ac:dyDescent="0.2">
      <c r="A319">
        <v>17</v>
      </c>
      <c r="B319">
        <v>1</v>
      </c>
      <c r="C319">
        <f>ROW(SmtRes!A261)</f>
        <v>261</v>
      </c>
      <c r="D319">
        <f>ROW(EtalonRes!A261)</f>
        <v>261</v>
      </c>
      <c r="E319" t="s">
        <v>3</v>
      </c>
      <c r="F319" t="s">
        <v>419</v>
      </c>
      <c r="G319" t="s">
        <v>420</v>
      </c>
      <c r="H319" t="s">
        <v>421</v>
      </c>
      <c r="I319">
        <v>0.30225000000000002</v>
      </c>
      <c r="J319">
        <v>0</v>
      </c>
      <c r="K319">
        <v>0.30225000000000002</v>
      </c>
      <c r="O319">
        <f t="shared" si="249"/>
        <v>3277.91</v>
      </c>
      <c r="P319">
        <f t="shared" si="250"/>
        <v>2387.14</v>
      </c>
      <c r="Q319">
        <f t="shared" si="251"/>
        <v>147</v>
      </c>
      <c r="R319">
        <f t="shared" si="252"/>
        <v>50.32</v>
      </c>
      <c r="S319">
        <f t="shared" si="253"/>
        <v>743.77</v>
      </c>
      <c r="T319">
        <f t="shared" si="254"/>
        <v>0</v>
      </c>
      <c r="U319">
        <f t="shared" si="255"/>
        <v>2.5812149999999998</v>
      </c>
      <c r="V319">
        <f t="shared" si="256"/>
        <v>0.11787750000000001</v>
      </c>
      <c r="W319">
        <f t="shared" si="257"/>
        <v>0</v>
      </c>
      <c r="X319">
        <f t="shared" si="258"/>
        <v>873.5</v>
      </c>
      <c r="Y319">
        <f t="shared" si="259"/>
        <v>547.91999999999996</v>
      </c>
      <c r="AA319">
        <v>-1</v>
      </c>
      <c r="AB319">
        <f t="shared" si="260"/>
        <v>558.11</v>
      </c>
      <c r="AC319">
        <f t="shared" si="261"/>
        <v>447.98</v>
      </c>
      <c r="AD319">
        <f t="shared" si="262"/>
        <v>40.36</v>
      </c>
      <c r="AE319">
        <f t="shared" si="263"/>
        <v>4.72</v>
      </c>
      <c r="AF319">
        <f t="shared" si="264"/>
        <v>69.77</v>
      </c>
      <c r="AG319">
        <f t="shared" si="265"/>
        <v>0</v>
      </c>
      <c r="AH319">
        <f t="shared" si="266"/>
        <v>8.5399999999999991</v>
      </c>
      <c r="AI319">
        <f t="shared" si="267"/>
        <v>0.39</v>
      </c>
      <c r="AJ319">
        <f t="shared" si="268"/>
        <v>0</v>
      </c>
      <c r="AK319">
        <v>558.11</v>
      </c>
      <c r="AL319">
        <v>447.98</v>
      </c>
      <c r="AM319">
        <v>40.36</v>
      </c>
      <c r="AN319">
        <v>4.72</v>
      </c>
      <c r="AO319">
        <v>69.77</v>
      </c>
      <c r="AP319">
        <v>0</v>
      </c>
      <c r="AQ319">
        <v>8.5399999999999991</v>
      </c>
      <c r="AR319">
        <v>0.39</v>
      </c>
      <c r="AS319">
        <v>0</v>
      </c>
      <c r="AT319">
        <v>110</v>
      </c>
      <c r="AU319">
        <v>69</v>
      </c>
      <c r="AV319">
        <v>1</v>
      </c>
      <c r="AW319">
        <v>1</v>
      </c>
      <c r="AZ319">
        <v>1</v>
      </c>
      <c r="BA319">
        <v>35.270000000000003</v>
      </c>
      <c r="BB319">
        <v>12.05</v>
      </c>
      <c r="BC319">
        <v>17.63</v>
      </c>
      <c r="BD319" t="s">
        <v>3</v>
      </c>
      <c r="BE319" t="s">
        <v>3</v>
      </c>
      <c r="BF319" t="s">
        <v>3</v>
      </c>
      <c r="BG319" t="s">
        <v>3</v>
      </c>
      <c r="BH319">
        <v>0</v>
      </c>
      <c r="BI319">
        <v>1</v>
      </c>
      <c r="BJ319" t="s">
        <v>422</v>
      </c>
      <c r="BM319">
        <v>8001</v>
      </c>
      <c r="BN319">
        <v>0</v>
      </c>
      <c r="BO319" t="s">
        <v>419</v>
      </c>
      <c r="BP319">
        <v>1</v>
      </c>
      <c r="BQ319">
        <v>2</v>
      </c>
      <c r="BR319">
        <v>0</v>
      </c>
      <c r="BS319">
        <v>35.270000000000003</v>
      </c>
      <c r="BT319">
        <v>1</v>
      </c>
      <c r="BU319">
        <v>1</v>
      </c>
      <c r="BV319">
        <v>1</v>
      </c>
      <c r="BW319">
        <v>1</v>
      </c>
      <c r="BX319">
        <v>1</v>
      </c>
      <c r="BY319" t="s">
        <v>3</v>
      </c>
      <c r="BZ319">
        <v>110</v>
      </c>
      <c r="CA319">
        <v>69</v>
      </c>
      <c r="CB319" t="s">
        <v>3</v>
      </c>
      <c r="CE319">
        <v>0</v>
      </c>
      <c r="CF319">
        <v>0</v>
      </c>
      <c r="CG319">
        <v>0</v>
      </c>
      <c r="CM319">
        <v>0</v>
      </c>
      <c r="CN319" t="s">
        <v>3</v>
      </c>
      <c r="CO319">
        <v>0</v>
      </c>
      <c r="CP319">
        <f t="shared" si="269"/>
        <v>3277.91</v>
      </c>
      <c r="CQ319">
        <f t="shared" si="270"/>
        <v>7897.8873999999996</v>
      </c>
      <c r="CR319">
        <f t="shared" si="271"/>
        <v>486.33800000000002</v>
      </c>
      <c r="CS319">
        <f t="shared" si="272"/>
        <v>166.4744</v>
      </c>
      <c r="CT319">
        <f t="shared" si="273"/>
        <v>2460.7879000000003</v>
      </c>
      <c r="CU319">
        <f t="shared" si="274"/>
        <v>0</v>
      </c>
      <c r="CV319">
        <f t="shared" si="275"/>
        <v>8.5399999999999991</v>
      </c>
      <c r="CW319">
        <f t="shared" si="276"/>
        <v>0.39</v>
      </c>
      <c r="CX319">
        <f t="shared" si="277"/>
        <v>0</v>
      </c>
      <c r="CY319">
        <f t="shared" si="287"/>
        <v>873.49900000000014</v>
      </c>
      <c r="CZ319">
        <f t="shared" si="288"/>
        <v>547.9221</v>
      </c>
      <c r="DC319" t="s">
        <v>3</v>
      </c>
      <c r="DD319" t="s">
        <v>3</v>
      </c>
      <c r="DE319" t="s">
        <v>3</v>
      </c>
      <c r="DF319" t="s">
        <v>3</v>
      </c>
      <c r="DG319" t="s">
        <v>3</v>
      </c>
      <c r="DH319" t="s">
        <v>3</v>
      </c>
      <c r="DI319" t="s">
        <v>3</v>
      </c>
      <c r="DJ319" t="s">
        <v>3</v>
      </c>
      <c r="DK319" t="s">
        <v>3</v>
      </c>
      <c r="DL319" t="s">
        <v>3</v>
      </c>
      <c r="DM319" t="s">
        <v>3</v>
      </c>
      <c r="DN319">
        <v>0</v>
      </c>
      <c r="DO319">
        <v>0</v>
      </c>
      <c r="DP319">
        <v>1</v>
      </c>
      <c r="DQ319">
        <v>1</v>
      </c>
      <c r="DU319">
        <v>1013</v>
      </c>
      <c r="DV319" t="s">
        <v>421</v>
      </c>
      <c r="DW319" t="s">
        <v>421</v>
      </c>
      <c r="DX319">
        <v>1</v>
      </c>
      <c r="DZ319" t="s">
        <v>3</v>
      </c>
      <c r="EA319" t="s">
        <v>3</v>
      </c>
      <c r="EB319" t="s">
        <v>3</v>
      </c>
      <c r="EC319" t="s">
        <v>3</v>
      </c>
      <c r="EE319">
        <v>92109397</v>
      </c>
      <c r="EF319">
        <v>2</v>
      </c>
      <c r="EG319" t="s">
        <v>21</v>
      </c>
      <c r="EH319">
        <v>8</v>
      </c>
      <c r="EI319" t="s">
        <v>423</v>
      </c>
      <c r="EJ319">
        <v>1</v>
      </c>
      <c r="EK319">
        <v>8001</v>
      </c>
      <c r="EL319" t="s">
        <v>423</v>
      </c>
      <c r="EM319" t="s">
        <v>424</v>
      </c>
      <c r="EO319" t="s">
        <v>3</v>
      </c>
      <c r="EQ319">
        <v>1024</v>
      </c>
      <c r="ER319">
        <v>558.11</v>
      </c>
      <c r="ES319">
        <v>447.98</v>
      </c>
      <c r="ET319">
        <v>40.36</v>
      </c>
      <c r="EU319">
        <v>4.72</v>
      </c>
      <c r="EV319">
        <v>69.77</v>
      </c>
      <c r="EW319">
        <v>8.5399999999999991</v>
      </c>
      <c r="EX319">
        <v>0.39</v>
      </c>
      <c r="EY319">
        <v>0</v>
      </c>
      <c r="FQ319">
        <v>0</v>
      </c>
      <c r="FR319">
        <f t="shared" si="278"/>
        <v>0</v>
      </c>
      <c r="FS319">
        <v>0</v>
      </c>
      <c r="FX319">
        <v>110</v>
      </c>
      <c r="FY319">
        <v>69</v>
      </c>
      <c r="GA319" t="s">
        <v>3</v>
      </c>
      <c r="GD319">
        <v>1</v>
      </c>
      <c r="GF319">
        <v>-473964522</v>
      </c>
      <c r="GG319">
        <v>2</v>
      </c>
      <c r="GH319">
        <v>1</v>
      </c>
      <c r="GI319">
        <v>2</v>
      </c>
      <c r="GJ319">
        <v>0</v>
      </c>
      <c r="GK319">
        <v>0</v>
      </c>
      <c r="GL319">
        <f t="shared" si="279"/>
        <v>0</v>
      </c>
      <c r="GM319">
        <f t="shared" si="280"/>
        <v>4699.33</v>
      </c>
      <c r="GN319">
        <f t="shared" si="281"/>
        <v>4699.33</v>
      </c>
      <c r="GO319">
        <f t="shared" si="282"/>
        <v>0</v>
      </c>
      <c r="GP319">
        <f t="shared" si="283"/>
        <v>0</v>
      </c>
      <c r="GR319">
        <v>0</v>
      </c>
      <c r="GS319">
        <v>0</v>
      </c>
      <c r="GT319">
        <v>0</v>
      </c>
      <c r="GU319" t="s">
        <v>3</v>
      </c>
      <c r="GV319">
        <f t="shared" si="284"/>
        <v>0</v>
      </c>
      <c r="GW319">
        <v>1</v>
      </c>
      <c r="GX319">
        <f t="shared" si="285"/>
        <v>0</v>
      </c>
      <c r="HA319">
        <v>0</v>
      </c>
      <c r="HB319">
        <v>0</v>
      </c>
      <c r="HC319">
        <f t="shared" si="286"/>
        <v>0</v>
      </c>
      <c r="HE319" t="s">
        <v>3</v>
      </c>
      <c r="HF319" t="s">
        <v>3</v>
      </c>
      <c r="HM319" t="s">
        <v>3</v>
      </c>
      <c r="HN319" t="s">
        <v>425</v>
      </c>
      <c r="HO319" t="s">
        <v>426</v>
      </c>
      <c r="HP319" t="s">
        <v>423</v>
      </c>
      <c r="HQ319" t="s">
        <v>423</v>
      </c>
      <c r="IK319">
        <v>0</v>
      </c>
    </row>
    <row r="320" spans="1:245" x14ac:dyDescent="0.2">
      <c r="A320">
        <v>17</v>
      </c>
      <c r="B320">
        <v>1</v>
      </c>
      <c r="C320">
        <f>ROW(SmtRes!A267)</f>
        <v>267</v>
      </c>
      <c r="D320">
        <f>ROW(EtalonRes!A267)</f>
        <v>267</v>
      </c>
      <c r="E320" t="s">
        <v>427</v>
      </c>
      <c r="F320" t="s">
        <v>428</v>
      </c>
      <c r="G320" t="s">
        <v>429</v>
      </c>
      <c r="H320" t="s">
        <v>430</v>
      </c>
      <c r="I320">
        <f>ROUND(3.92/100,9)</f>
        <v>3.9199999999999999E-2</v>
      </c>
      <c r="J320">
        <v>0</v>
      </c>
      <c r="K320">
        <f>ROUND(3.92/100,9)</f>
        <v>3.9199999999999999E-2</v>
      </c>
      <c r="O320">
        <f t="shared" si="249"/>
        <v>1050.0999999999999</v>
      </c>
      <c r="P320">
        <f t="shared" si="250"/>
        <v>14.91</v>
      </c>
      <c r="Q320">
        <f t="shared" si="251"/>
        <v>96.77</v>
      </c>
      <c r="R320">
        <f t="shared" si="252"/>
        <v>26.01</v>
      </c>
      <c r="S320">
        <f t="shared" si="253"/>
        <v>938.42</v>
      </c>
      <c r="T320">
        <f t="shared" si="254"/>
        <v>0</v>
      </c>
      <c r="U320">
        <f t="shared" si="255"/>
        <v>3.1375680000000004</v>
      </c>
      <c r="V320">
        <f t="shared" si="256"/>
        <v>8.1927999999999987E-2</v>
      </c>
      <c r="W320">
        <f t="shared" si="257"/>
        <v>0</v>
      </c>
      <c r="X320">
        <f t="shared" si="258"/>
        <v>1080.1600000000001</v>
      </c>
      <c r="Y320">
        <f t="shared" si="259"/>
        <v>626.88</v>
      </c>
      <c r="AA320">
        <v>94798619</v>
      </c>
      <c r="AB320">
        <f t="shared" si="260"/>
        <v>872.32</v>
      </c>
      <c r="AC320">
        <f t="shared" si="261"/>
        <v>16.36</v>
      </c>
      <c r="AD320">
        <f t="shared" si="262"/>
        <v>177.22</v>
      </c>
      <c r="AE320">
        <f t="shared" si="263"/>
        <v>18.809999999999999</v>
      </c>
      <c r="AF320">
        <f t="shared" si="264"/>
        <v>678.74</v>
      </c>
      <c r="AG320">
        <f t="shared" si="265"/>
        <v>0</v>
      </c>
      <c r="AH320">
        <f t="shared" si="266"/>
        <v>80.040000000000006</v>
      </c>
      <c r="AI320">
        <f t="shared" si="267"/>
        <v>2.09</v>
      </c>
      <c r="AJ320">
        <f t="shared" si="268"/>
        <v>0</v>
      </c>
      <c r="AK320">
        <v>872.32</v>
      </c>
      <c r="AL320">
        <v>16.36</v>
      </c>
      <c r="AM320">
        <v>177.22</v>
      </c>
      <c r="AN320">
        <v>18.809999999999999</v>
      </c>
      <c r="AO320">
        <v>678.74</v>
      </c>
      <c r="AP320">
        <v>0</v>
      </c>
      <c r="AQ320">
        <v>80.040000000000006</v>
      </c>
      <c r="AR320">
        <v>2.09</v>
      </c>
      <c r="AS320">
        <v>0</v>
      </c>
      <c r="AT320">
        <v>112</v>
      </c>
      <c r="AU320">
        <v>65</v>
      </c>
      <c r="AV320">
        <v>1</v>
      </c>
      <c r="AW320">
        <v>1</v>
      </c>
      <c r="AZ320">
        <v>1</v>
      </c>
      <c r="BA320">
        <v>35.270000000000003</v>
      </c>
      <c r="BB320">
        <v>13.93</v>
      </c>
      <c r="BC320">
        <v>23.25</v>
      </c>
      <c r="BD320" t="s">
        <v>3</v>
      </c>
      <c r="BE320" t="s">
        <v>3</v>
      </c>
      <c r="BF320" t="s">
        <v>3</v>
      </c>
      <c r="BG320" t="s">
        <v>3</v>
      </c>
      <c r="BH320">
        <v>0</v>
      </c>
      <c r="BI320">
        <v>1</v>
      </c>
      <c r="BJ320" t="s">
        <v>431</v>
      </c>
      <c r="BM320">
        <v>11001</v>
      </c>
      <c r="BN320">
        <v>0</v>
      </c>
      <c r="BO320" t="s">
        <v>428</v>
      </c>
      <c r="BP320">
        <v>1</v>
      </c>
      <c r="BQ320">
        <v>2</v>
      </c>
      <c r="BR320">
        <v>0</v>
      </c>
      <c r="BS320">
        <v>35.270000000000003</v>
      </c>
      <c r="BT320">
        <v>1</v>
      </c>
      <c r="BU320">
        <v>1</v>
      </c>
      <c r="BV320">
        <v>1</v>
      </c>
      <c r="BW320">
        <v>1</v>
      </c>
      <c r="BX320">
        <v>1</v>
      </c>
      <c r="BY320" t="s">
        <v>3</v>
      </c>
      <c r="BZ320">
        <v>112</v>
      </c>
      <c r="CA320">
        <v>65</v>
      </c>
      <c r="CB320" t="s">
        <v>3</v>
      </c>
      <c r="CE320">
        <v>0</v>
      </c>
      <c r="CF320">
        <v>0</v>
      </c>
      <c r="CG320">
        <v>0</v>
      </c>
      <c r="CM320">
        <v>0</v>
      </c>
      <c r="CN320" t="s">
        <v>3</v>
      </c>
      <c r="CO320">
        <v>0</v>
      </c>
      <c r="CP320">
        <f t="shared" si="269"/>
        <v>1050.0999999999999</v>
      </c>
      <c r="CQ320">
        <f t="shared" si="270"/>
        <v>380.37</v>
      </c>
      <c r="CR320">
        <f t="shared" si="271"/>
        <v>2468.6745999999998</v>
      </c>
      <c r="CS320">
        <f t="shared" si="272"/>
        <v>663.42870000000005</v>
      </c>
      <c r="CT320">
        <f t="shared" si="273"/>
        <v>23939.159800000001</v>
      </c>
      <c r="CU320">
        <f t="shared" si="274"/>
        <v>0</v>
      </c>
      <c r="CV320">
        <f t="shared" si="275"/>
        <v>80.040000000000006</v>
      </c>
      <c r="CW320">
        <f t="shared" si="276"/>
        <v>2.09</v>
      </c>
      <c r="CX320">
        <f t="shared" si="277"/>
        <v>0</v>
      </c>
      <c r="CY320">
        <f t="shared" si="287"/>
        <v>1080.1615999999999</v>
      </c>
      <c r="CZ320">
        <f t="shared" si="288"/>
        <v>626.87950000000001</v>
      </c>
      <c r="DC320" t="s">
        <v>3</v>
      </c>
      <c r="DD320" t="s">
        <v>3</v>
      </c>
      <c r="DE320" t="s">
        <v>3</v>
      </c>
      <c r="DF320" t="s">
        <v>3</v>
      </c>
      <c r="DG320" t="s">
        <v>3</v>
      </c>
      <c r="DH320" t="s">
        <v>3</v>
      </c>
      <c r="DI320" t="s">
        <v>3</v>
      </c>
      <c r="DJ320" t="s">
        <v>3</v>
      </c>
      <c r="DK320" t="s">
        <v>3</v>
      </c>
      <c r="DL320" t="s">
        <v>3</v>
      </c>
      <c r="DM320" t="s">
        <v>3</v>
      </c>
      <c r="DN320">
        <v>0</v>
      </c>
      <c r="DO320">
        <v>0</v>
      </c>
      <c r="DP320">
        <v>1</v>
      </c>
      <c r="DQ320">
        <v>1</v>
      </c>
      <c r="DU320">
        <v>1013</v>
      </c>
      <c r="DV320" t="s">
        <v>430</v>
      </c>
      <c r="DW320" t="s">
        <v>430</v>
      </c>
      <c r="DX320">
        <v>1</v>
      </c>
      <c r="DZ320" t="s">
        <v>3</v>
      </c>
      <c r="EA320" t="s">
        <v>3</v>
      </c>
      <c r="EB320" t="s">
        <v>3</v>
      </c>
      <c r="EC320" t="s">
        <v>3</v>
      </c>
      <c r="EE320">
        <v>92109400</v>
      </c>
      <c r="EF320">
        <v>2</v>
      </c>
      <c r="EG320" t="s">
        <v>21</v>
      </c>
      <c r="EH320">
        <v>11</v>
      </c>
      <c r="EI320" t="s">
        <v>432</v>
      </c>
      <c r="EJ320">
        <v>1</v>
      </c>
      <c r="EK320">
        <v>11001</v>
      </c>
      <c r="EL320" t="s">
        <v>432</v>
      </c>
      <c r="EM320" t="s">
        <v>433</v>
      </c>
      <c r="EO320" t="s">
        <v>3</v>
      </c>
      <c r="EQ320">
        <v>0</v>
      </c>
      <c r="ER320">
        <v>872.32</v>
      </c>
      <c r="ES320">
        <v>16.36</v>
      </c>
      <c r="ET320">
        <v>177.22</v>
      </c>
      <c r="EU320">
        <v>18.809999999999999</v>
      </c>
      <c r="EV320">
        <v>678.74</v>
      </c>
      <c r="EW320">
        <v>80.040000000000006</v>
      </c>
      <c r="EX320">
        <v>2.09</v>
      </c>
      <c r="EY320">
        <v>0</v>
      </c>
      <c r="FQ320">
        <v>0</v>
      </c>
      <c r="FR320">
        <f t="shared" si="278"/>
        <v>0</v>
      </c>
      <c r="FS320">
        <v>0</v>
      </c>
      <c r="FX320">
        <v>112</v>
      </c>
      <c r="FY320">
        <v>65</v>
      </c>
      <c r="GA320" t="s">
        <v>3</v>
      </c>
      <c r="GD320">
        <v>1</v>
      </c>
      <c r="GF320">
        <v>-1310404031</v>
      </c>
      <c r="GG320">
        <v>2</v>
      </c>
      <c r="GH320">
        <v>1</v>
      </c>
      <c r="GI320">
        <v>2</v>
      </c>
      <c r="GJ320">
        <v>0</v>
      </c>
      <c r="GK320">
        <v>0</v>
      </c>
      <c r="GL320">
        <f t="shared" si="279"/>
        <v>0</v>
      </c>
      <c r="GM320">
        <f t="shared" si="280"/>
        <v>2757.14</v>
      </c>
      <c r="GN320">
        <f t="shared" si="281"/>
        <v>2757.14</v>
      </c>
      <c r="GO320">
        <f t="shared" si="282"/>
        <v>0</v>
      </c>
      <c r="GP320">
        <f t="shared" si="283"/>
        <v>0</v>
      </c>
      <c r="GR320">
        <v>0</v>
      </c>
      <c r="GS320">
        <v>0</v>
      </c>
      <c r="GT320">
        <v>0</v>
      </c>
      <c r="GU320" t="s">
        <v>3</v>
      </c>
      <c r="GV320">
        <f t="shared" si="284"/>
        <v>0</v>
      </c>
      <c r="GW320">
        <v>1</v>
      </c>
      <c r="GX320">
        <f t="shared" si="285"/>
        <v>0</v>
      </c>
      <c r="HA320">
        <v>0</v>
      </c>
      <c r="HB320">
        <v>0</v>
      </c>
      <c r="HC320">
        <f t="shared" si="286"/>
        <v>0</v>
      </c>
      <c r="HE320" t="s">
        <v>3</v>
      </c>
      <c r="HF320" t="s">
        <v>3</v>
      </c>
      <c r="HM320" t="s">
        <v>3</v>
      </c>
      <c r="HN320" t="s">
        <v>434</v>
      </c>
      <c r="HO320" t="s">
        <v>435</v>
      </c>
      <c r="HP320" t="s">
        <v>432</v>
      </c>
      <c r="HQ320" t="s">
        <v>432</v>
      </c>
      <c r="IK320">
        <v>0</v>
      </c>
    </row>
    <row r="321" spans="1:245" x14ac:dyDescent="0.2">
      <c r="A321">
        <v>17</v>
      </c>
      <c r="B321">
        <v>1</v>
      </c>
      <c r="C321">
        <f>ROW(SmtRes!A275)</f>
        <v>275</v>
      </c>
      <c r="D321">
        <f>ROW(EtalonRes!A275)</f>
        <v>275</v>
      </c>
      <c r="E321" t="s">
        <v>436</v>
      </c>
      <c r="F321" t="s">
        <v>437</v>
      </c>
      <c r="G321" t="s">
        <v>438</v>
      </c>
      <c r="H321" t="s">
        <v>439</v>
      </c>
      <c r="I321">
        <f>ROUND(3.92/100,9)</f>
        <v>3.9199999999999999E-2</v>
      </c>
      <c r="J321">
        <v>0</v>
      </c>
      <c r="K321">
        <f>ROUND(3.92/100,9)</f>
        <v>3.9199999999999999E-2</v>
      </c>
      <c r="O321">
        <f t="shared" si="249"/>
        <v>94.4</v>
      </c>
      <c r="P321">
        <f t="shared" si="250"/>
        <v>43.56</v>
      </c>
      <c r="Q321">
        <f t="shared" si="251"/>
        <v>7.07</v>
      </c>
      <c r="R321">
        <f t="shared" si="252"/>
        <v>0.14000000000000001</v>
      </c>
      <c r="S321">
        <f t="shared" si="253"/>
        <v>43.77</v>
      </c>
      <c r="T321">
        <f t="shared" si="254"/>
        <v>0</v>
      </c>
      <c r="U321">
        <f t="shared" si="255"/>
        <v>0.144648</v>
      </c>
      <c r="V321">
        <f t="shared" si="256"/>
        <v>3.9199999999999999E-4</v>
      </c>
      <c r="W321">
        <f t="shared" si="257"/>
        <v>0</v>
      </c>
      <c r="X321">
        <f t="shared" si="258"/>
        <v>43.91</v>
      </c>
      <c r="Y321">
        <f t="shared" si="259"/>
        <v>21.52</v>
      </c>
      <c r="AA321">
        <v>94798619</v>
      </c>
      <c r="AB321">
        <f t="shared" si="260"/>
        <v>272.14999999999998</v>
      </c>
      <c r="AC321">
        <f t="shared" si="261"/>
        <v>215.33</v>
      </c>
      <c r="AD321">
        <f t="shared" si="262"/>
        <v>25.16</v>
      </c>
      <c r="AE321">
        <f t="shared" si="263"/>
        <v>0.1</v>
      </c>
      <c r="AF321">
        <f t="shared" si="264"/>
        <v>31.66</v>
      </c>
      <c r="AG321">
        <f t="shared" si="265"/>
        <v>0</v>
      </c>
      <c r="AH321">
        <f t="shared" si="266"/>
        <v>3.69</v>
      </c>
      <c r="AI321">
        <f t="shared" si="267"/>
        <v>0.01</v>
      </c>
      <c r="AJ321">
        <f t="shared" si="268"/>
        <v>0</v>
      </c>
      <c r="AK321">
        <v>272.14999999999998</v>
      </c>
      <c r="AL321">
        <v>215.33</v>
      </c>
      <c r="AM321">
        <v>25.16</v>
      </c>
      <c r="AN321">
        <v>0.1</v>
      </c>
      <c r="AO321">
        <v>31.66</v>
      </c>
      <c r="AP321">
        <v>0</v>
      </c>
      <c r="AQ321">
        <v>3.69</v>
      </c>
      <c r="AR321">
        <v>0.01</v>
      </c>
      <c r="AS321">
        <v>0</v>
      </c>
      <c r="AT321">
        <v>100</v>
      </c>
      <c r="AU321">
        <v>49</v>
      </c>
      <c r="AV321">
        <v>1</v>
      </c>
      <c r="AW321">
        <v>1</v>
      </c>
      <c r="AZ321">
        <v>1</v>
      </c>
      <c r="BA321">
        <v>35.270000000000003</v>
      </c>
      <c r="BB321">
        <v>7.17</v>
      </c>
      <c r="BC321">
        <v>5.16</v>
      </c>
      <c r="BD321" t="s">
        <v>3</v>
      </c>
      <c r="BE321" t="s">
        <v>3</v>
      </c>
      <c r="BF321" t="s">
        <v>3</v>
      </c>
      <c r="BG321" t="s">
        <v>3</v>
      </c>
      <c r="BH321">
        <v>0</v>
      </c>
      <c r="BI321">
        <v>1</v>
      </c>
      <c r="BJ321" t="s">
        <v>440</v>
      </c>
      <c r="BM321">
        <v>15001</v>
      </c>
      <c r="BN321">
        <v>0</v>
      </c>
      <c r="BO321" t="s">
        <v>437</v>
      </c>
      <c r="BP321">
        <v>1</v>
      </c>
      <c r="BQ321">
        <v>2</v>
      </c>
      <c r="BR321">
        <v>0</v>
      </c>
      <c r="BS321">
        <v>35.270000000000003</v>
      </c>
      <c r="BT321">
        <v>1</v>
      </c>
      <c r="BU321">
        <v>1</v>
      </c>
      <c r="BV321">
        <v>1</v>
      </c>
      <c r="BW321">
        <v>1</v>
      </c>
      <c r="BX321">
        <v>1</v>
      </c>
      <c r="BY321" t="s">
        <v>3</v>
      </c>
      <c r="BZ321">
        <v>100</v>
      </c>
      <c r="CA321">
        <v>49</v>
      </c>
      <c r="CB321" t="s">
        <v>3</v>
      </c>
      <c r="CE321">
        <v>0</v>
      </c>
      <c r="CF321">
        <v>0</v>
      </c>
      <c r="CG321">
        <v>0</v>
      </c>
      <c r="CM321">
        <v>0</v>
      </c>
      <c r="CN321" t="s">
        <v>3</v>
      </c>
      <c r="CO321">
        <v>0</v>
      </c>
      <c r="CP321">
        <f t="shared" si="269"/>
        <v>94.4</v>
      </c>
      <c r="CQ321">
        <f t="shared" si="270"/>
        <v>1111.1028000000001</v>
      </c>
      <c r="CR321">
        <f t="shared" si="271"/>
        <v>180.3972</v>
      </c>
      <c r="CS321">
        <f t="shared" si="272"/>
        <v>3.5270000000000006</v>
      </c>
      <c r="CT321">
        <f t="shared" si="273"/>
        <v>1116.6482000000001</v>
      </c>
      <c r="CU321">
        <f t="shared" si="274"/>
        <v>0</v>
      </c>
      <c r="CV321">
        <f t="shared" si="275"/>
        <v>3.69</v>
      </c>
      <c r="CW321">
        <f t="shared" si="276"/>
        <v>0.01</v>
      </c>
      <c r="CX321">
        <f t="shared" si="277"/>
        <v>0</v>
      </c>
      <c r="CY321">
        <f t="shared" si="287"/>
        <v>43.91</v>
      </c>
      <c r="CZ321">
        <f t="shared" si="288"/>
        <v>21.515900000000002</v>
      </c>
      <c r="DC321" t="s">
        <v>3</v>
      </c>
      <c r="DD321" t="s">
        <v>3</v>
      </c>
      <c r="DE321" t="s">
        <v>3</v>
      </c>
      <c r="DF321" t="s">
        <v>3</v>
      </c>
      <c r="DG321" t="s">
        <v>3</v>
      </c>
      <c r="DH321" t="s">
        <v>3</v>
      </c>
      <c r="DI321" t="s">
        <v>3</v>
      </c>
      <c r="DJ321" t="s">
        <v>3</v>
      </c>
      <c r="DK321" t="s">
        <v>3</v>
      </c>
      <c r="DL321" t="s">
        <v>3</v>
      </c>
      <c r="DM321" t="s">
        <v>3</v>
      </c>
      <c r="DN321">
        <v>0</v>
      </c>
      <c r="DO321">
        <v>0</v>
      </c>
      <c r="DP321">
        <v>1</v>
      </c>
      <c r="DQ321">
        <v>1</v>
      </c>
      <c r="DU321">
        <v>1013</v>
      </c>
      <c r="DV321" t="s">
        <v>439</v>
      </c>
      <c r="DW321" t="s">
        <v>439</v>
      </c>
      <c r="DX321">
        <v>1</v>
      </c>
      <c r="DZ321" t="s">
        <v>3</v>
      </c>
      <c r="EA321" t="s">
        <v>3</v>
      </c>
      <c r="EB321" t="s">
        <v>3</v>
      </c>
      <c r="EC321" t="s">
        <v>3</v>
      </c>
      <c r="EE321">
        <v>92109425</v>
      </c>
      <c r="EF321">
        <v>2</v>
      </c>
      <c r="EG321" t="s">
        <v>21</v>
      </c>
      <c r="EH321">
        <v>15</v>
      </c>
      <c r="EI321" t="s">
        <v>441</v>
      </c>
      <c r="EJ321">
        <v>1</v>
      </c>
      <c r="EK321">
        <v>15001</v>
      </c>
      <c r="EL321" t="s">
        <v>441</v>
      </c>
      <c r="EM321" t="s">
        <v>442</v>
      </c>
      <c r="EO321" t="s">
        <v>3</v>
      </c>
      <c r="EQ321">
        <v>0</v>
      </c>
      <c r="ER321">
        <v>272.14999999999998</v>
      </c>
      <c r="ES321">
        <v>215.33</v>
      </c>
      <c r="ET321">
        <v>25.16</v>
      </c>
      <c r="EU321">
        <v>0.1</v>
      </c>
      <c r="EV321">
        <v>31.66</v>
      </c>
      <c r="EW321">
        <v>3.69</v>
      </c>
      <c r="EX321">
        <v>0.01</v>
      </c>
      <c r="EY321">
        <v>0</v>
      </c>
      <c r="FQ321">
        <v>0</v>
      </c>
      <c r="FR321">
        <f t="shared" si="278"/>
        <v>0</v>
      </c>
      <c r="FS321">
        <v>0</v>
      </c>
      <c r="FX321">
        <v>100</v>
      </c>
      <c r="FY321">
        <v>49</v>
      </c>
      <c r="GA321" t="s">
        <v>3</v>
      </c>
      <c r="GD321">
        <v>1</v>
      </c>
      <c r="GF321">
        <v>509035628</v>
      </c>
      <c r="GG321">
        <v>2</v>
      </c>
      <c r="GH321">
        <v>1</v>
      </c>
      <c r="GI321">
        <v>2</v>
      </c>
      <c r="GJ321">
        <v>0</v>
      </c>
      <c r="GK321">
        <v>0</v>
      </c>
      <c r="GL321">
        <f t="shared" si="279"/>
        <v>0</v>
      </c>
      <c r="GM321">
        <f t="shared" si="280"/>
        <v>159.83000000000001</v>
      </c>
      <c r="GN321">
        <f t="shared" si="281"/>
        <v>159.83000000000001</v>
      </c>
      <c r="GO321">
        <f t="shared" si="282"/>
        <v>0</v>
      </c>
      <c r="GP321">
        <f t="shared" si="283"/>
        <v>0</v>
      </c>
      <c r="GR321">
        <v>0</v>
      </c>
      <c r="GS321">
        <v>0</v>
      </c>
      <c r="GT321">
        <v>0</v>
      </c>
      <c r="GU321" t="s">
        <v>3</v>
      </c>
      <c r="GV321">
        <f t="shared" si="284"/>
        <v>0</v>
      </c>
      <c r="GW321">
        <v>1</v>
      </c>
      <c r="GX321">
        <f t="shared" si="285"/>
        <v>0</v>
      </c>
      <c r="HA321">
        <v>0</v>
      </c>
      <c r="HB321">
        <v>0</v>
      </c>
      <c r="HC321">
        <f t="shared" si="286"/>
        <v>0</v>
      </c>
      <c r="HE321" t="s">
        <v>3</v>
      </c>
      <c r="HF321" t="s">
        <v>3</v>
      </c>
      <c r="HM321" t="s">
        <v>3</v>
      </c>
      <c r="HN321" t="s">
        <v>443</v>
      </c>
      <c r="HO321" t="s">
        <v>444</v>
      </c>
      <c r="HP321" t="s">
        <v>441</v>
      </c>
      <c r="HQ321" t="s">
        <v>441</v>
      </c>
      <c r="IK321">
        <v>0</v>
      </c>
    </row>
    <row r="322" spans="1:245" x14ac:dyDescent="0.2">
      <c r="A322">
        <v>17</v>
      </c>
      <c r="B322">
        <v>1</v>
      </c>
      <c r="C322">
        <f>ROW(SmtRes!A284)</f>
        <v>284</v>
      </c>
      <c r="D322">
        <f>ROW(EtalonRes!A284)</f>
        <v>284</v>
      </c>
      <c r="E322" t="s">
        <v>445</v>
      </c>
      <c r="F322" t="s">
        <v>446</v>
      </c>
      <c r="G322" t="s">
        <v>447</v>
      </c>
      <c r="H322" t="s">
        <v>397</v>
      </c>
      <c r="I322">
        <f>ROUND(3.92/100,9)</f>
        <v>3.9199999999999999E-2</v>
      </c>
      <c r="J322">
        <v>0</v>
      </c>
      <c r="K322">
        <f>ROUND(3.92/100,9)</f>
        <v>3.9199999999999999E-2</v>
      </c>
      <c r="O322">
        <f t="shared" si="249"/>
        <v>545.66</v>
      </c>
      <c r="P322">
        <f t="shared" si="250"/>
        <v>165.69</v>
      </c>
      <c r="Q322">
        <f t="shared" si="251"/>
        <v>5.29</v>
      </c>
      <c r="R322">
        <f t="shared" si="252"/>
        <v>0.14000000000000001</v>
      </c>
      <c r="S322">
        <f t="shared" si="253"/>
        <v>374.68</v>
      </c>
      <c r="T322">
        <f t="shared" si="254"/>
        <v>0</v>
      </c>
      <c r="U322">
        <f t="shared" si="255"/>
        <v>1.2830159999999999</v>
      </c>
      <c r="V322">
        <f t="shared" si="256"/>
        <v>3.9199999999999999E-4</v>
      </c>
      <c r="W322">
        <f t="shared" si="257"/>
        <v>0</v>
      </c>
      <c r="X322">
        <f t="shared" si="258"/>
        <v>374.82</v>
      </c>
      <c r="Y322">
        <f t="shared" si="259"/>
        <v>183.66</v>
      </c>
      <c r="AA322">
        <v>94798619</v>
      </c>
      <c r="AB322">
        <f t="shared" si="260"/>
        <v>844.04</v>
      </c>
      <c r="AC322">
        <f t="shared" si="261"/>
        <v>563.58000000000004</v>
      </c>
      <c r="AD322">
        <f t="shared" si="262"/>
        <v>9.4600000000000009</v>
      </c>
      <c r="AE322">
        <f t="shared" si="263"/>
        <v>0.1</v>
      </c>
      <c r="AF322">
        <f t="shared" si="264"/>
        <v>271</v>
      </c>
      <c r="AG322">
        <f t="shared" si="265"/>
        <v>0</v>
      </c>
      <c r="AH322">
        <f t="shared" si="266"/>
        <v>32.729999999999997</v>
      </c>
      <c r="AI322">
        <f t="shared" si="267"/>
        <v>0.01</v>
      </c>
      <c r="AJ322">
        <f t="shared" si="268"/>
        <v>0</v>
      </c>
      <c r="AK322">
        <v>844.04</v>
      </c>
      <c r="AL322">
        <v>563.58000000000004</v>
      </c>
      <c r="AM322">
        <v>9.4600000000000009</v>
      </c>
      <c r="AN322">
        <v>0.1</v>
      </c>
      <c r="AO322">
        <v>271</v>
      </c>
      <c r="AP322">
        <v>0</v>
      </c>
      <c r="AQ322">
        <v>32.729999999999997</v>
      </c>
      <c r="AR322">
        <v>0.01</v>
      </c>
      <c r="AS322">
        <v>0</v>
      </c>
      <c r="AT322">
        <v>100</v>
      </c>
      <c r="AU322">
        <v>49</v>
      </c>
      <c r="AV322">
        <v>1</v>
      </c>
      <c r="AW322">
        <v>1</v>
      </c>
      <c r="AZ322">
        <v>1</v>
      </c>
      <c r="BA322">
        <v>35.270000000000003</v>
      </c>
      <c r="BB322">
        <v>14.26</v>
      </c>
      <c r="BC322">
        <v>7.5</v>
      </c>
      <c r="BD322" t="s">
        <v>3</v>
      </c>
      <c r="BE322" t="s">
        <v>3</v>
      </c>
      <c r="BF322" t="s">
        <v>3</v>
      </c>
      <c r="BG322" t="s">
        <v>3</v>
      </c>
      <c r="BH322">
        <v>0</v>
      </c>
      <c r="BI322">
        <v>1</v>
      </c>
      <c r="BJ322" t="s">
        <v>448</v>
      </c>
      <c r="BM322">
        <v>15001</v>
      </c>
      <c r="BN322">
        <v>0</v>
      </c>
      <c r="BO322" t="s">
        <v>446</v>
      </c>
      <c r="BP322">
        <v>1</v>
      </c>
      <c r="BQ322">
        <v>2</v>
      </c>
      <c r="BR322">
        <v>0</v>
      </c>
      <c r="BS322">
        <v>35.270000000000003</v>
      </c>
      <c r="BT322">
        <v>1</v>
      </c>
      <c r="BU322">
        <v>1</v>
      </c>
      <c r="BV322">
        <v>1</v>
      </c>
      <c r="BW322">
        <v>1</v>
      </c>
      <c r="BX322">
        <v>1</v>
      </c>
      <c r="BY322" t="s">
        <v>3</v>
      </c>
      <c r="BZ322">
        <v>100</v>
      </c>
      <c r="CA322">
        <v>49</v>
      </c>
      <c r="CB322" t="s">
        <v>3</v>
      </c>
      <c r="CE322">
        <v>0</v>
      </c>
      <c r="CF322">
        <v>0</v>
      </c>
      <c r="CG322">
        <v>0</v>
      </c>
      <c r="CM322">
        <v>0</v>
      </c>
      <c r="CN322" t="s">
        <v>3</v>
      </c>
      <c r="CO322">
        <v>0</v>
      </c>
      <c r="CP322">
        <f t="shared" si="269"/>
        <v>545.66</v>
      </c>
      <c r="CQ322">
        <f t="shared" si="270"/>
        <v>4226.8500000000004</v>
      </c>
      <c r="CR322">
        <f t="shared" si="271"/>
        <v>134.89960000000002</v>
      </c>
      <c r="CS322">
        <f t="shared" si="272"/>
        <v>3.5270000000000006</v>
      </c>
      <c r="CT322">
        <f t="shared" si="273"/>
        <v>9558.17</v>
      </c>
      <c r="CU322">
        <f t="shared" si="274"/>
        <v>0</v>
      </c>
      <c r="CV322">
        <f t="shared" si="275"/>
        <v>32.729999999999997</v>
      </c>
      <c r="CW322">
        <f t="shared" si="276"/>
        <v>0.01</v>
      </c>
      <c r="CX322">
        <f t="shared" si="277"/>
        <v>0</v>
      </c>
      <c r="CY322">
        <f t="shared" si="287"/>
        <v>374.82</v>
      </c>
      <c r="CZ322">
        <f t="shared" si="288"/>
        <v>183.6618</v>
      </c>
      <c r="DC322" t="s">
        <v>3</v>
      </c>
      <c r="DD322" t="s">
        <v>3</v>
      </c>
      <c r="DE322" t="s">
        <v>3</v>
      </c>
      <c r="DF322" t="s">
        <v>3</v>
      </c>
      <c r="DG322" t="s">
        <v>3</v>
      </c>
      <c r="DH322" t="s">
        <v>3</v>
      </c>
      <c r="DI322" t="s">
        <v>3</v>
      </c>
      <c r="DJ322" t="s">
        <v>3</v>
      </c>
      <c r="DK322" t="s">
        <v>3</v>
      </c>
      <c r="DL322" t="s">
        <v>3</v>
      </c>
      <c r="DM322" t="s">
        <v>3</v>
      </c>
      <c r="DN322">
        <v>0</v>
      </c>
      <c r="DO322">
        <v>0</v>
      </c>
      <c r="DP322">
        <v>1</v>
      </c>
      <c r="DQ322">
        <v>1</v>
      </c>
      <c r="DU322">
        <v>1005</v>
      </c>
      <c r="DV322" t="s">
        <v>397</v>
      </c>
      <c r="DW322" t="s">
        <v>397</v>
      </c>
      <c r="DX322">
        <v>100</v>
      </c>
      <c r="DZ322" t="s">
        <v>3</v>
      </c>
      <c r="EA322" t="s">
        <v>3</v>
      </c>
      <c r="EB322" t="s">
        <v>3</v>
      </c>
      <c r="EC322" t="s">
        <v>3</v>
      </c>
      <c r="EE322">
        <v>92109425</v>
      </c>
      <c r="EF322">
        <v>2</v>
      </c>
      <c r="EG322" t="s">
        <v>21</v>
      </c>
      <c r="EH322">
        <v>15</v>
      </c>
      <c r="EI322" t="s">
        <v>441</v>
      </c>
      <c r="EJ322">
        <v>1</v>
      </c>
      <c r="EK322">
        <v>15001</v>
      </c>
      <c r="EL322" t="s">
        <v>441</v>
      </c>
      <c r="EM322" t="s">
        <v>442</v>
      </c>
      <c r="EO322" t="s">
        <v>3</v>
      </c>
      <c r="EQ322">
        <v>0</v>
      </c>
      <c r="ER322">
        <v>844.04</v>
      </c>
      <c r="ES322">
        <v>563.58000000000004</v>
      </c>
      <c r="ET322">
        <v>9.4600000000000009</v>
      </c>
      <c r="EU322">
        <v>0.1</v>
      </c>
      <c r="EV322">
        <v>271</v>
      </c>
      <c r="EW322">
        <v>32.729999999999997</v>
      </c>
      <c r="EX322">
        <v>0.01</v>
      </c>
      <c r="EY322">
        <v>0</v>
      </c>
      <c r="FQ322">
        <v>0</v>
      </c>
      <c r="FR322">
        <f t="shared" si="278"/>
        <v>0</v>
      </c>
      <c r="FS322">
        <v>0</v>
      </c>
      <c r="FX322">
        <v>100</v>
      </c>
      <c r="FY322">
        <v>49</v>
      </c>
      <c r="GA322" t="s">
        <v>3</v>
      </c>
      <c r="GD322">
        <v>1</v>
      </c>
      <c r="GF322">
        <v>1499143916</v>
      </c>
      <c r="GG322">
        <v>2</v>
      </c>
      <c r="GH322">
        <v>1</v>
      </c>
      <c r="GI322">
        <v>2</v>
      </c>
      <c r="GJ322">
        <v>0</v>
      </c>
      <c r="GK322">
        <v>0</v>
      </c>
      <c r="GL322">
        <f t="shared" si="279"/>
        <v>0</v>
      </c>
      <c r="GM322">
        <f t="shared" si="280"/>
        <v>1104.1400000000001</v>
      </c>
      <c r="GN322">
        <f t="shared" si="281"/>
        <v>1104.1400000000001</v>
      </c>
      <c r="GO322">
        <f t="shared" si="282"/>
        <v>0</v>
      </c>
      <c r="GP322">
        <f t="shared" si="283"/>
        <v>0</v>
      </c>
      <c r="GR322">
        <v>0</v>
      </c>
      <c r="GS322">
        <v>0</v>
      </c>
      <c r="GT322">
        <v>0</v>
      </c>
      <c r="GU322" t="s">
        <v>3</v>
      </c>
      <c r="GV322">
        <f t="shared" si="284"/>
        <v>0</v>
      </c>
      <c r="GW322">
        <v>1</v>
      </c>
      <c r="GX322">
        <f t="shared" si="285"/>
        <v>0</v>
      </c>
      <c r="HA322">
        <v>0</v>
      </c>
      <c r="HB322">
        <v>0</v>
      </c>
      <c r="HC322">
        <f t="shared" si="286"/>
        <v>0</v>
      </c>
      <c r="HE322" t="s">
        <v>3</v>
      </c>
      <c r="HF322" t="s">
        <v>3</v>
      </c>
      <c r="HM322" t="s">
        <v>3</v>
      </c>
      <c r="HN322" t="s">
        <v>443</v>
      </c>
      <c r="HO322" t="s">
        <v>444</v>
      </c>
      <c r="HP322" t="s">
        <v>441</v>
      </c>
      <c r="HQ322" t="s">
        <v>441</v>
      </c>
      <c r="IK322">
        <v>0</v>
      </c>
    </row>
    <row r="323" spans="1:245" x14ac:dyDescent="0.2">
      <c r="A323">
        <v>17</v>
      </c>
      <c r="B323">
        <v>1</v>
      </c>
      <c r="C323">
        <f>ROW(SmtRes!A292)</f>
        <v>292</v>
      </c>
      <c r="D323">
        <f>ROW(EtalonRes!A292)</f>
        <v>292</v>
      </c>
      <c r="E323" t="s">
        <v>449</v>
      </c>
      <c r="F323" t="s">
        <v>34</v>
      </c>
      <c r="G323" t="s">
        <v>206</v>
      </c>
      <c r="H323" t="s">
        <v>36</v>
      </c>
      <c r="I323">
        <f>ROUND(10/100,9)</f>
        <v>0.1</v>
      </c>
      <c r="J323">
        <v>0</v>
      </c>
      <c r="K323">
        <f>ROUND(10/100,9)</f>
        <v>0.1</v>
      </c>
      <c r="O323">
        <f t="shared" si="249"/>
        <v>5347.5</v>
      </c>
      <c r="P323">
        <f t="shared" si="250"/>
        <v>244.5</v>
      </c>
      <c r="Q323">
        <f t="shared" si="251"/>
        <v>4101.16</v>
      </c>
      <c r="R323">
        <f t="shared" si="252"/>
        <v>857.55</v>
      </c>
      <c r="S323">
        <f t="shared" si="253"/>
        <v>1001.84</v>
      </c>
      <c r="T323">
        <f t="shared" si="254"/>
        <v>0</v>
      </c>
      <c r="U323">
        <f t="shared" si="255"/>
        <v>3.5640000000000001</v>
      </c>
      <c r="V323">
        <f t="shared" si="256"/>
        <v>2.1670000000000003</v>
      </c>
      <c r="W323">
        <f t="shared" si="257"/>
        <v>0</v>
      </c>
      <c r="X323">
        <f t="shared" si="258"/>
        <v>1729.23</v>
      </c>
      <c r="Y323">
        <f t="shared" si="259"/>
        <v>1152.82</v>
      </c>
      <c r="AA323">
        <v>94798619</v>
      </c>
      <c r="AB323">
        <f t="shared" si="260"/>
        <v>3978.49</v>
      </c>
      <c r="AC323">
        <f t="shared" si="261"/>
        <v>236.46</v>
      </c>
      <c r="AD323">
        <f t="shared" si="262"/>
        <v>3457.98</v>
      </c>
      <c r="AE323">
        <f t="shared" si="263"/>
        <v>243.14</v>
      </c>
      <c r="AF323">
        <f t="shared" si="264"/>
        <v>284.05</v>
      </c>
      <c r="AG323">
        <f t="shared" si="265"/>
        <v>0</v>
      </c>
      <c r="AH323">
        <f t="shared" si="266"/>
        <v>35.64</v>
      </c>
      <c r="AI323">
        <f t="shared" si="267"/>
        <v>21.67</v>
      </c>
      <c r="AJ323">
        <f t="shared" si="268"/>
        <v>0</v>
      </c>
      <c r="AK323">
        <v>3978.49</v>
      </c>
      <c r="AL323">
        <v>236.46</v>
      </c>
      <c r="AM323">
        <v>3457.98</v>
      </c>
      <c r="AN323">
        <v>243.14</v>
      </c>
      <c r="AO323">
        <v>284.05</v>
      </c>
      <c r="AP323">
        <v>0</v>
      </c>
      <c r="AQ323">
        <v>35.64</v>
      </c>
      <c r="AR323">
        <v>21.67</v>
      </c>
      <c r="AS323">
        <v>0</v>
      </c>
      <c r="AT323">
        <v>93</v>
      </c>
      <c r="AU323">
        <v>62</v>
      </c>
      <c r="AV323">
        <v>1</v>
      </c>
      <c r="AW323">
        <v>1</v>
      </c>
      <c r="AZ323">
        <v>1</v>
      </c>
      <c r="BA323">
        <v>35.270000000000003</v>
      </c>
      <c r="BB323">
        <v>11.86</v>
      </c>
      <c r="BC323">
        <v>10.34</v>
      </c>
      <c r="BD323" t="s">
        <v>3</v>
      </c>
      <c r="BE323" t="s">
        <v>3</v>
      </c>
      <c r="BF323" t="s">
        <v>3</v>
      </c>
      <c r="BG323" t="s">
        <v>3</v>
      </c>
      <c r="BH323">
        <v>0</v>
      </c>
      <c r="BI323">
        <v>1</v>
      </c>
      <c r="BJ323" t="s">
        <v>37</v>
      </c>
      <c r="BM323">
        <v>9001</v>
      </c>
      <c r="BN323">
        <v>0</v>
      </c>
      <c r="BO323" t="s">
        <v>34</v>
      </c>
      <c r="BP323">
        <v>1</v>
      </c>
      <c r="BQ323">
        <v>2</v>
      </c>
      <c r="BR323">
        <v>0</v>
      </c>
      <c r="BS323">
        <v>35.270000000000003</v>
      </c>
      <c r="BT323">
        <v>1</v>
      </c>
      <c r="BU323">
        <v>1</v>
      </c>
      <c r="BV323">
        <v>1</v>
      </c>
      <c r="BW323">
        <v>1</v>
      </c>
      <c r="BX323">
        <v>1</v>
      </c>
      <c r="BY323" t="s">
        <v>3</v>
      </c>
      <c r="BZ323">
        <v>93</v>
      </c>
      <c r="CA323">
        <v>62</v>
      </c>
      <c r="CB323" t="s">
        <v>3</v>
      </c>
      <c r="CE323">
        <v>0</v>
      </c>
      <c r="CF323">
        <v>0</v>
      </c>
      <c r="CG323">
        <v>0</v>
      </c>
      <c r="CM323">
        <v>0</v>
      </c>
      <c r="CN323" t="s">
        <v>3</v>
      </c>
      <c r="CO323">
        <v>0</v>
      </c>
      <c r="CP323">
        <f t="shared" si="269"/>
        <v>5347.5</v>
      </c>
      <c r="CQ323">
        <f t="shared" si="270"/>
        <v>2444.9964</v>
      </c>
      <c r="CR323">
        <f t="shared" si="271"/>
        <v>41011.642800000001</v>
      </c>
      <c r="CS323">
        <f t="shared" si="272"/>
        <v>8575.5478000000003</v>
      </c>
      <c r="CT323">
        <f t="shared" si="273"/>
        <v>10018.443500000001</v>
      </c>
      <c r="CU323">
        <f t="shared" si="274"/>
        <v>0</v>
      </c>
      <c r="CV323">
        <f t="shared" si="275"/>
        <v>35.64</v>
      </c>
      <c r="CW323">
        <f t="shared" si="276"/>
        <v>21.67</v>
      </c>
      <c r="CX323">
        <f t="shared" si="277"/>
        <v>0</v>
      </c>
      <c r="CY323">
        <f t="shared" si="287"/>
        <v>1729.2326999999998</v>
      </c>
      <c r="CZ323">
        <f t="shared" si="288"/>
        <v>1152.8217999999999</v>
      </c>
      <c r="DC323" t="s">
        <v>3</v>
      </c>
      <c r="DD323" t="s">
        <v>3</v>
      </c>
      <c r="DE323" t="s">
        <v>3</v>
      </c>
      <c r="DF323" t="s">
        <v>3</v>
      </c>
      <c r="DG323" t="s">
        <v>3</v>
      </c>
      <c r="DH323" t="s">
        <v>3</v>
      </c>
      <c r="DI323" t="s">
        <v>3</v>
      </c>
      <c r="DJ323" t="s">
        <v>3</v>
      </c>
      <c r="DK323" t="s">
        <v>3</v>
      </c>
      <c r="DL323" t="s">
        <v>3</v>
      </c>
      <c r="DM323" t="s">
        <v>3</v>
      </c>
      <c r="DN323">
        <v>0</v>
      </c>
      <c r="DO323">
        <v>0</v>
      </c>
      <c r="DP323">
        <v>1</v>
      </c>
      <c r="DQ323">
        <v>1</v>
      </c>
      <c r="DU323">
        <v>1013</v>
      </c>
      <c r="DV323" t="s">
        <v>36</v>
      </c>
      <c r="DW323" t="s">
        <v>36</v>
      </c>
      <c r="DX323">
        <v>1</v>
      </c>
      <c r="DZ323" t="s">
        <v>3</v>
      </c>
      <c r="EA323" t="s">
        <v>3</v>
      </c>
      <c r="EB323" t="s">
        <v>3</v>
      </c>
      <c r="EC323" t="s">
        <v>3</v>
      </c>
      <c r="EE323">
        <v>92109398</v>
      </c>
      <c r="EF323">
        <v>2</v>
      </c>
      <c r="EG323" t="s">
        <v>21</v>
      </c>
      <c r="EH323">
        <v>9</v>
      </c>
      <c r="EI323" t="s">
        <v>40</v>
      </c>
      <c r="EJ323">
        <v>1</v>
      </c>
      <c r="EK323">
        <v>9001</v>
      </c>
      <c r="EL323" t="s">
        <v>40</v>
      </c>
      <c r="EM323" t="s">
        <v>41</v>
      </c>
      <c r="EO323" t="s">
        <v>3</v>
      </c>
      <c r="EQ323">
        <v>0</v>
      </c>
      <c r="ER323">
        <v>3978.49</v>
      </c>
      <c r="ES323">
        <v>236.46</v>
      </c>
      <c r="ET323">
        <v>3457.98</v>
      </c>
      <c r="EU323">
        <v>243.14</v>
      </c>
      <c r="EV323">
        <v>284.05</v>
      </c>
      <c r="EW323">
        <v>35.64</v>
      </c>
      <c r="EX323">
        <v>21.67</v>
      </c>
      <c r="EY323">
        <v>0</v>
      </c>
      <c r="FQ323">
        <v>0</v>
      </c>
      <c r="FR323">
        <f t="shared" si="278"/>
        <v>0</v>
      </c>
      <c r="FS323">
        <v>0</v>
      </c>
      <c r="FX323">
        <v>93</v>
      </c>
      <c r="FY323">
        <v>62</v>
      </c>
      <c r="GA323" t="s">
        <v>3</v>
      </c>
      <c r="GD323">
        <v>1</v>
      </c>
      <c r="GF323">
        <v>1125465084</v>
      </c>
      <c r="GG323">
        <v>2</v>
      </c>
      <c r="GH323">
        <v>1</v>
      </c>
      <c r="GI323">
        <v>2</v>
      </c>
      <c r="GJ323">
        <v>0</v>
      </c>
      <c r="GK323">
        <v>0</v>
      </c>
      <c r="GL323">
        <f t="shared" si="279"/>
        <v>0</v>
      </c>
      <c r="GM323">
        <f t="shared" si="280"/>
        <v>8229.5499999999993</v>
      </c>
      <c r="GN323">
        <f t="shared" si="281"/>
        <v>8229.5499999999993</v>
      </c>
      <c r="GO323">
        <f t="shared" si="282"/>
        <v>0</v>
      </c>
      <c r="GP323">
        <f t="shared" si="283"/>
        <v>0</v>
      </c>
      <c r="GR323">
        <v>0</v>
      </c>
      <c r="GS323">
        <v>3</v>
      </c>
      <c r="GT323">
        <v>0</v>
      </c>
      <c r="GU323" t="s">
        <v>3</v>
      </c>
      <c r="GV323">
        <f t="shared" si="284"/>
        <v>0</v>
      </c>
      <c r="GW323">
        <v>1</v>
      </c>
      <c r="GX323">
        <f t="shared" si="285"/>
        <v>0</v>
      </c>
      <c r="HA323">
        <v>0</v>
      </c>
      <c r="HB323">
        <v>0</v>
      </c>
      <c r="HC323">
        <f t="shared" si="286"/>
        <v>0</v>
      </c>
      <c r="HE323" t="s">
        <v>3</v>
      </c>
      <c r="HF323" t="s">
        <v>3</v>
      </c>
      <c r="HM323" t="s">
        <v>3</v>
      </c>
      <c r="HN323" t="s">
        <v>42</v>
      </c>
      <c r="HO323" t="s">
        <v>43</v>
      </c>
      <c r="HP323" t="s">
        <v>40</v>
      </c>
      <c r="HQ323" t="s">
        <v>40</v>
      </c>
      <c r="IK323">
        <v>0</v>
      </c>
    </row>
    <row r="324" spans="1:245" x14ac:dyDescent="0.2">
      <c r="A324">
        <v>18</v>
      </c>
      <c r="B324">
        <v>1</v>
      </c>
      <c r="C324">
        <v>291</v>
      </c>
      <c r="E324" t="s">
        <v>450</v>
      </c>
      <c r="F324" t="s">
        <v>45</v>
      </c>
      <c r="G324" t="s">
        <v>46</v>
      </c>
      <c r="H324" t="s">
        <v>47</v>
      </c>
      <c r="I324">
        <f>I323*J324</f>
        <v>10</v>
      </c>
      <c r="J324">
        <v>100</v>
      </c>
      <c r="K324">
        <v>100</v>
      </c>
      <c r="O324">
        <f t="shared" si="249"/>
        <v>0</v>
      </c>
      <c r="P324">
        <f t="shared" si="250"/>
        <v>0</v>
      </c>
      <c r="Q324">
        <f t="shared" si="251"/>
        <v>0</v>
      </c>
      <c r="R324">
        <f t="shared" si="252"/>
        <v>0</v>
      </c>
      <c r="S324">
        <f t="shared" si="253"/>
        <v>0</v>
      </c>
      <c r="T324">
        <f t="shared" si="254"/>
        <v>0</v>
      </c>
      <c r="U324">
        <f t="shared" si="255"/>
        <v>0</v>
      </c>
      <c r="V324">
        <f t="shared" si="256"/>
        <v>0</v>
      </c>
      <c r="W324">
        <f t="shared" si="257"/>
        <v>0</v>
      </c>
      <c r="X324">
        <f t="shared" si="258"/>
        <v>0</v>
      </c>
      <c r="Y324">
        <f t="shared" si="259"/>
        <v>0</v>
      </c>
      <c r="AA324">
        <v>94798619</v>
      </c>
      <c r="AB324">
        <f t="shared" si="260"/>
        <v>0</v>
      </c>
      <c r="AC324">
        <f t="shared" si="261"/>
        <v>0</v>
      </c>
      <c r="AD324">
        <f t="shared" si="262"/>
        <v>0</v>
      </c>
      <c r="AE324">
        <f t="shared" si="263"/>
        <v>0</v>
      </c>
      <c r="AF324">
        <f t="shared" si="264"/>
        <v>0</v>
      </c>
      <c r="AG324">
        <f t="shared" si="265"/>
        <v>0</v>
      </c>
      <c r="AH324">
        <f t="shared" si="266"/>
        <v>0</v>
      </c>
      <c r="AI324">
        <f t="shared" si="267"/>
        <v>0</v>
      </c>
      <c r="AJ324">
        <f t="shared" si="268"/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93</v>
      </c>
      <c r="AU324">
        <v>62</v>
      </c>
      <c r="AV324">
        <v>1</v>
      </c>
      <c r="AW324">
        <v>1</v>
      </c>
      <c r="AZ324">
        <v>1</v>
      </c>
      <c r="BA324">
        <v>1</v>
      </c>
      <c r="BB324">
        <v>1</v>
      </c>
      <c r="BC324">
        <v>1</v>
      </c>
      <c r="BD324" t="s">
        <v>3</v>
      </c>
      <c r="BE324" t="s">
        <v>3</v>
      </c>
      <c r="BF324" t="s">
        <v>3</v>
      </c>
      <c r="BG324" t="s">
        <v>3</v>
      </c>
      <c r="BH324">
        <v>3</v>
      </c>
      <c r="BI324">
        <v>1</v>
      </c>
      <c r="BJ324" t="s">
        <v>48</v>
      </c>
      <c r="BM324">
        <v>9001</v>
      </c>
      <c r="BN324">
        <v>0</v>
      </c>
      <c r="BO324" t="s">
        <v>3</v>
      </c>
      <c r="BP324">
        <v>0</v>
      </c>
      <c r="BQ324">
        <v>2</v>
      </c>
      <c r="BR324">
        <v>0</v>
      </c>
      <c r="BS324">
        <v>1</v>
      </c>
      <c r="BT324">
        <v>1</v>
      </c>
      <c r="BU324">
        <v>1</v>
      </c>
      <c r="BV324">
        <v>1</v>
      </c>
      <c r="BW324">
        <v>1</v>
      </c>
      <c r="BX324">
        <v>1</v>
      </c>
      <c r="BY324" t="s">
        <v>3</v>
      </c>
      <c r="BZ324">
        <v>93</v>
      </c>
      <c r="CA324">
        <v>62</v>
      </c>
      <c r="CB324" t="s">
        <v>3</v>
      </c>
      <c r="CE324">
        <v>0</v>
      </c>
      <c r="CF324">
        <v>0</v>
      </c>
      <c r="CG324">
        <v>0</v>
      </c>
      <c r="CM324">
        <v>0</v>
      </c>
      <c r="CN324" t="s">
        <v>3</v>
      </c>
      <c r="CO324">
        <v>0</v>
      </c>
      <c r="CP324">
        <f t="shared" si="269"/>
        <v>0</v>
      </c>
      <c r="CQ324">
        <f t="shared" si="270"/>
        <v>0</v>
      </c>
      <c r="CR324">
        <f t="shared" si="271"/>
        <v>0</v>
      </c>
      <c r="CS324">
        <f t="shared" si="272"/>
        <v>0</v>
      </c>
      <c r="CT324">
        <f t="shared" si="273"/>
        <v>0</v>
      </c>
      <c r="CU324">
        <f t="shared" si="274"/>
        <v>0</v>
      </c>
      <c r="CV324">
        <f t="shared" si="275"/>
        <v>0</v>
      </c>
      <c r="CW324">
        <f t="shared" si="276"/>
        <v>0</v>
      </c>
      <c r="CX324">
        <f t="shared" si="277"/>
        <v>0</v>
      </c>
      <c r="CY324">
        <f t="shared" si="287"/>
        <v>0</v>
      </c>
      <c r="CZ324">
        <f t="shared" si="288"/>
        <v>0</v>
      </c>
      <c r="DC324" t="s">
        <v>3</v>
      </c>
      <c r="DD324" t="s">
        <v>3</v>
      </c>
      <c r="DE324" t="s">
        <v>3</v>
      </c>
      <c r="DF324" t="s">
        <v>3</v>
      </c>
      <c r="DG324" t="s">
        <v>3</v>
      </c>
      <c r="DH324" t="s">
        <v>3</v>
      </c>
      <c r="DI324" t="s">
        <v>3</v>
      </c>
      <c r="DJ324" t="s">
        <v>3</v>
      </c>
      <c r="DK324" t="s">
        <v>3</v>
      </c>
      <c r="DL324" t="s">
        <v>3</v>
      </c>
      <c r="DM324" t="s">
        <v>3</v>
      </c>
      <c r="DN324">
        <v>0</v>
      </c>
      <c r="DO324">
        <v>0</v>
      </c>
      <c r="DP324">
        <v>1</v>
      </c>
      <c r="DQ324">
        <v>1</v>
      </c>
      <c r="DU324">
        <v>1010</v>
      </c>
      <c r="DV324" t="s">
        <v>47</v>
      </c>
      <c r="DW324" t="s">
        <v>47</v>
      </c>
      <c r="DX324">
        <v>1</v>
      </c>
      <c r="DZ324" t="s">
        <v>3</v>
      </c>
      <c r="EA324" t="s">
        <v>3</v>
      </c>
      <c r="EB324" t="s">
        <v>3</v>
      </c>
      <c r="EC324" t="s">
        <v>3</v>
      </c>
      <c r="EE324">
        <v>92109398</v>
      </c>
      <c r="EF324">
        <v>2</v>
      </c>
      <c r="EG324" t="s">
        <v>21</v>
      </c>
      <c r="EH324">
        <v>9</v>
      </c>
      <c r="EI324" t="s">
        <v>40</v>
      </c>
      <c r="EJ324">
        <v>1</v>
      </c>
      <c r="EK324">
        <v>9001</v>
      </c>
      <c r="EL324" t="s">
        <v>40</v>
      </c>
      <c r="EM324" t="s">
        <v>41</v>
      </c>
      <c r="EO324" t="s">
        <v>3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FQ324">
        <v>0</v>
      </c>
      <c r="FR324">
        <f t="shared" si="278"/>
        <v>0</v>
      </c>
      <c r="FS324">
        <v>0</v>
      </c>
      <c r="FX324">
        <v>93</v>
      </c>
      <c r="FY324">
        <v>62</v>
      </c>
      <c r="GA324" t="s">
        <v>3</v>
      </c>
      <c r="GD324">
        <v>1</v>
      </c>
      <c r="GF324">
        <v>-138700279</v>
      </c>
      <c r="GG324">
        <v>2</v>
      </c>
      <c r="GH324">
        <v>1</v>
      </c>
      <c r="GI324">
        <v>-2</v>
      </c>
      <c r="GJ324">
        <v>0</v>
      </c>
      <c r="GK324">
        <v>0</v>
      </c>
      <c r="GL324">
        <f t="shared" si="279"/>
        <v>0</v>
      </c>
      <c r="GM324">
        <f t="shared" si="280"/>
        <v>0</v>
      </c>
      <c r="GN324">
        <f t="shared" si="281"/>
        <v>0</v>
      </c>
      <c r="GO324">
        <f t="shared" si="282"/>
        <v>0</v>
      </c>
      <c r="GP324">
        <f t="shared" si="283"/>
        <v>0</v>
      </c>
      <c r="GR324">
        <v>0</v>
      </c>
      <c r="GS324">
        <v>3</v>
      </c>
      <c r="GT324">
        <v>0</v>
      </c>
      <c r="GU324" t="s">
        <v>3</v>
      </c>
      <c r="GV324">
        <f t="shared" si="284"/>
        <v>0</v>
      </c>
      <c r="GW324">
        <v>1</v>
      </c>
      <c r="GX324">
        <f t="shared" si="285"/>
        <v>0</v>
      </c>
      <c r="HA324">
        <v>0</v>
      </c>
      <c r="HB324">
        <v>0</v>
      </c>
      <c r="HC324">
        <f t="shared" si="286"/>
        <v>0</v>
      </c>
      <c r="HE324" t="s">
        <v>3</v>
      </c>
      <c r="HF324" t="s">
        <v>3</v>
      </c>
      <c r="HM324" t="s">
        <v>3</v>
      </c>
      <c r="HN324" t="s">
        <v>42</v>
      </c>
      <c r="HO324" t="s">
        <v>43</v>
      </c>
      <c r="HP324" t="s">
        <v>40</v>
      </c>
      <c r="HQ324" t="s">
        <v>40</v>
      </c>
      <c r="IK324">
        <v>0</v>
      </c>
    </row>
    <row r="325" spans="1:245" x14ac:dyDescent="0.2">
      <c r="A325">
        <v>18</v>
      </c>
      <c r="B325">
        <v>1</v>
      </c>
      <c r="C325">
        <v>292</v>
      </c>
      <c r="E325" t="s">
        <v>451</v>
      </c>
      <c r="F325" t="s">
        <v>50</v>
      </c>
      <c r="G325" t="s">
        <v>51</v>
      </c>
      <c r="H325" t="s">
        <v>52</v>
      </c>
      <c r="I325">
        <f>I323*J325</f>
        <v>0.63400000000000001</v>
      </c>
      <c r="J325">
        <v>6.34</v>
      </c>
      <c r="K325">
        <v>6.34</v>
      </c>
      <c r="O325">
        <f t="shared" si="249"/>
        <v>0</v>
      </c>
      <c r="P325">
        <f t="shared" si="250"/>
        <v>0</v>
      </c>
      <c r="Q325">
        <f t="shared" si="251"/>
        <v>0</v>
      </c>
      <c r="R325">
        <f t="shared" si="252"/>
        <v>0</v>
      </c>
      <c r="S325">
        <f t="shared" si="253"/>
        <v>0</v>
      </c>
      <c r="T325">
        <f t="shared" si="254"/>
        <v>0</v>
      </c>
      <c r="U325">
        <f t="shared" si="255"/>
        <v>0</v>
      </c>
      <c r="V325">
        <f t="shared" si="256"/>
        <v>0</v>
      </c>
      <c r="W325">
        <f t="shared" si="257"/>
        <v>0</v>
      </c>
      <c r="X325">
        <f t="shared" si="258"/>
        <v>0</v>
      </c>
      <c r="Y325">
        <f t="shared" si="259"/>
        <v>0</v>
      </c>
      <c r="AA325">
        <v>94798619</v>
      </c>
      <c r="AB325">
        <f t="shared" si="260"/>
        <v>0</v>
      </c>
      <c r="AC325">
        <f t="shared" si="261"/>
        <v>0</v>
      </c>
      <c r="AD325">
        <f t="shared" si="262"/>
        <v>0</v>
      </c>
      <c r="AE325">
        <f t="shared" si="263"/>
        <v>0</v>
      </c>
      <c r="AF325">
        <f t="shared" si="264"/>
        <v>0</v>
      </c>
      <c r="AG325">
        <f t="shared" si="265"/>
        <v>0</v>
      </c>
      <c r="AH325">
        <f t="shared" si="266"/>
        <v>0</v>
      </c>
      <c r="AI325">
        <f t="shared" si="267"/>
        <v>0</v>
      </c>
      <c r="AJ325">
        <f t="shared" si="268"/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93</v>
      </c>
      <c r="AU325">
        <v>62</v>
      </c>
      <c r="AV325">
        <v>1</v>
      </c>
      <c r="AW325">
        <v>1</v>
      </c>
      <c r="AZ325">
        <v>1</v>
      </c>
      <c r="BA325">
        <v>1</v>
      </c>
      <c r="BB325">
        <v>1</v>
      </c>
      <c r="BC325">
        <v>1</v>
      </c>
      <c r="BD325" t="s">
        <v>3</v>
      </c>
      <c r="BE325" t="s">
        <v>3</v>
      </c>
      <c r="BF325" t="s">
        <v>3</v>
      </c>
      <c r="BG325" t="s">
        <v>3</v>
      </c>
      <c r="BH325">
        <v>3</v>
      </c>
      <c r="BI325">
        <v>1</v>
      </c>
      <c r="BJ325" t="s">
        <v>53</v>
      </c>
      <c r="BM325">
        <v>9001</v>
      </c>
      <c r="BN325">
        <v>0</v>
      </c>
      <c r="BO325" t="s">
        <v>3</v>
      </c>
      <c r="BP325">
        <v>0</v>
      </c>
      <c r="BQ325">
        <v>2</v>
      </c>
      <c r="BR325">
        <v>0</v>
      </c>
      <c r="BS325">
        <v>1</v>
      </c>
      <c r="BT325">
        <v>1</v>
      </c>
      <c r="BU325">
        <v>1</v>
      </c>
      <c r="BV325">
        <v>1</v>
      </c>
      <c r="BW325">
        <v>1</v>
      </c>
      <c r="BX325">
        <v>1</v>
      </c>
      <c r="BY325" t="s">
        <v>3</v>
      </c>
      <c r="BZ325">
        <v>93</v>
      </c>
      <c r="CA325">
        <v>62</v>
      </c>
      <c r="CB325" t="s">
        <v>3</v>
      </c>
      <c r="CE325">
        <v>0</v>
      </c>
      <c r="CF325">
        <v>0</v>
      </c>
      <c r="CG325">
        <v>0</v>
      </c>
      <c r="CM325">
        <v>0</v>
      </c>
      <c r="CN325" t="s">
        <v>3</v>
      </c>
      <c r="CO325">
        <v>0</v>
      </c>
      <c r="CP325">
        <f t="shared" si="269"/>
        <v>0</v>
      </c>
      <c r="CQ325">
        <f t="shared" si="270"/>
        <v>0</v>
      </c>
      <c r="CR325">
        <f t="shared" si="271"/>
        <v>0</v>
      </c>
      <c r="CS325">
        <f t="shared" si="272"/>
        <v>0</v>
      </c>
      <c r="CT325">
        <f t="shared" si="273"/>
        <v>0</v>
      </c>
      <c r="CU325">
        <f t="shared" si="274"/>
        <v>0</v>
      </c>
      <c r="CV325">
        <f t="shared" si="275"/>
        <v>0</v>
      </c>
      <c r="CW325">
        <f t="shared" si="276"/>
        <v>0</v>
      </c>
      <c r="CX325">
        <f t="shared" si="277"/>
        <v>0</v>
      </c>
      <c r="CY325">
        <f t="shared" si="287"/>
        <v>0</v>
      </c>
      <c r="CZ325">
        <f t="shared" si="288"/>
        <v>0</v>
      </c>
      <c r="DC325" t="s">
        <v>3</v>
      </c>
      <c r="DD325" t="s">
        <v>3</v>
      </c>
      <c r="DE325" t="s">
        <v>3</v>
      </c>
      <c r="DF325" t="s">
        <v>3</v>
      </c>
      <c r="DG325" t="s">
        <v>3</v>
      </c>
      <c r="DH325" t="s">
        <v>3</v>
      </c>
      <c r="DI325" t="s">
        <v>3</v>
      </c>
      <c r="DJ325" t="s">
        <v>3</v>
      </c>
      <c r="DK325" t="s">
        <v>3</v>
      </c>
      <c r="DL325" t="s">
        <v>3</v>
      </c>
      <c r="DM325" t="s">
        <v>3</v>
      </c>
      <c r="DN325">
        <v>0</v>
      </c>
      <c r="DO325">
        <v>0</v>
      </c>
      <c r="DP325">
        <v>1</v>
      </c>
      <c r="DQ325">
        <v>1</v>
      </c>
      <c r="DU325">
        <v>1007</v>
      </c>
      <c r="DV325" t="s">
        <v>52</v>
      </c>
      <c r="DW325" t="s">
        <v>52</v>
      </c>
      <c r="DX325">
        <v>1</v>
      </c>
      <c r="DZ325" t="s">
        <v>3</v>
      </c>
      <c r="EA325" t="s">
        <v>3</v>
      </c>
      <c r="EB325" t="s">
        <v>3</v>
      </c>
      <c r="EC325" t="s">
        <v>3</v>
      </c>
      <c r="EE325">
        <v>92109398</v>
      </c>
      <c r="EF325">
        <v>2</v>
      </c>
      <c r="EG325" t="s">
        <v>21</v>
      </c>
      <c r="EH325">
        <v>9</v>
      </c>
      <c r="EI325" t="s">
        <v>40</v>
      </c>
      <c r="EJ325">
        <v>1</v>
      </c>
      <c r="EK325">
        <v>9001</v>
      </c>
      <c r="EL325" t="s">
        <v>40</v>
      </c>
      <c r="EM325" t="s">
        <v>41</v>
      </c>
      <c r="EO325" t="s">
        <v>3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FQ325">
        <v>0</v>
      </c>
      <c r="FR325">
        <f t="shared" si="278"/>
        <v>0</v>
      </c>
      <c r="FS325">
        <v>0</v>
      </c>
      <c r="FX325">
        <v>93</v>
      </c>
      <c r="FY325">
        <v>62</v>
      </c>
      <c r="GA325" t="s">
        <v>3</v>
      </c>
      <c r="GD325">
        <v>1</v>
      </c>
      <c r="GF325">
        <v>-255290429</v>
      </c>
      <c r="GG325">
        <v>2</v>
      </c>
      <c r="GH325">
        <v>1</v>
      </c>
      <c r="GI325">
        <v>-2</v>
      </c>
      <c r="GJ325">
        <v>0</v>
      </c>
      <c r="GK325">
        <v>0</v>
      </c>
      <c r="GL325">
        <f t="shared" si="279"/>
        <v>0</v>
      </c>
      <c r="GM325">
        <f t="shared" si="280"/>
        <v>0</v>
      </c>
      <c r="GN325">
        <f t="shared" si="281"/>
        <v>0</v>
      </c>
      <c r="GO325">
        <f t="shared" si="282"/>
        <v>0</v>
      </c>
      <c r="GP325">
        <f t="shared" si="283"/>
        <v>0</v>
      </c>
      <c r="GR325">
        <v>0</v>
      </c>
      <c r="GS325">
        <v>3</v>
      </c>
      <c r="GT325">
        <v>0</v>
      </c>
      <c r="GU325" t="s">
        <v>3</v>
      </c>
      <c r="GV325">
        <f t="shared" si="284"/>
        <v>0</v>
      </c>
      <c r="GW325">
        <v>1</v>
      </c>
      <c r="GX325">
        <f t="shared" si="285"/>
        <v>0</v>
      </c>
      <c r="HA325">
        <v>0</v>
      </c>
      <c r="HB325">
        <v>0</v>
      </c>
      <c r="HC325">
        <f t="shared" si="286"/>
        <v>0</v>
      </c>
      <c r="HE325" t="s">
        <v>3</v>
      </c>
      <c r="HF325" t="s">
        <v>3</v>
      </c>
      <c r="HM325" t="s">
        <v>3</v>
      </c>
      <c r="HN325" t="s">
        <v>42</v>
      </c>
      <c r="HO325" t="s">
        <v>43</v>
      </c>
      <c r="HP325" t="s">
        <v>40</v>
      </c>
      <c r="HQ325" t="s">
        <v>40</v>
      </c>
      <c r="IK325">
        <v>0</v>
      </c>
    </row>
    <row r="326" spans="1:245" x14ac:dyDescent="0.2">
      <c r="A326">
        <v>17</v>
      </c>
      <c r="B326">
        <v>1</v>
      </c>
      <c r="E326" t="s">
        <v>452</v>
      </c>
      <c r="F326" t="s">
        <v>453</v>
      </c>
      <c r="G326" t="s">
        <v>454</v>
      </c>
      <c r="H326" t="s">
        <v>368</v>
      </c>
      <c r="I326">
        <v>40</v>
      </c>
      <c r="J326">
        <v>0</v>
      </c>
      <c r="K326">
        <v>40</v>
      </c>
      <c r="O326">
        <f t="shared" si="249"/>
        <v>27131.1</v>
      </c>
      <c r="P326">
        <f t="shared" si="250"/>
        <v>27131.1</v>
      </c>
      <c r="Q326">
        <f t="shared" si="251"/>
        <v>0</v>
      </c>
      <c r="R326">
        <f t="shared" si="252"/>
        <v>0</v>
      </c>
      <c r="S326">
        <f t="shared" si="253"/>
        <v>0</v>
      </c>
      <c r="T326">
        <f t="shared" si="254"/>
        <v>0</v>
      </c>
      <c r="U326">
        <f t="shared" si="255"/>
        <v>0</v>
      </c>
      <c r="V326">
        <f t="shared" si="256"/>
        <v>0</v>
      </c>
      <c r="W326">
        <f t="shared" si="257"/>
        <v>0</v>
      </c>
      <c r="X326">
        <f t="shared" si="258"/>
        <v>0</v>
      </c>
      <c r="Y326">
        <f t="shared" si="259"/>
        <v>0</v>
      </c>
      <c r="AA326">
        <v>94798619</v>
      </c>
      <c r="AB326">
        <f t="shared" si="260"/>
        <v>93.17</v>
      </c>
      <c r="AC326">
        <f t="shared" si="261"/>
        <v>93.17</v>
      </c>
      <c r="AD326">
        <f t="shared" si="262"/>
        <v>0</v>
      </c>
      <c r="AE326">
        <f t="shared" si="263"/>
        <v>0</v>
      </c>
      <c r="AF326">
        <f t="shared" si="264"/>
        <v>0</v>
      </c>
      <c r="AG326">
        <f t="shared" si="265"/>
        <v>0</v>
      </c>
      <c r="AH326">
        <f t="shared" si="266"/>
        <v>0</v>
      </c>
      <c r="AI326">
        <f t="shared" si="267"/>
        <v>0</v>
      </c>
      <c r="AJ326">
        <f t="shared" si="268"/>
        <v>0</v>
      </c>
      <c r="AK326">
        <v>93.17</v>
      </c>
      <c r="AL326">
        <v>93.17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1</v>
      </c>
      <c r="AW326">
        <v>1</v>
      </c>
      <c r="AZ326">
        <v>1</v>
      </c>
      <c r="BA326">
        <v>1</v>
      </c>
      <c r="BB326">
        <v>1</v>
      </c>
      <c r="BC326">
        <v>7.28</v>
      </c>
      <c r="BD326" t="s">
        <v>3</v>
      </c>
      <c r="BE326" t="s">
        <v>3</v>
      </c>
      <c r="BF326" t="s">
        <v>3</v>
      </c>
      <c r="BG326" t="s">
        <v>3</v>
      </c>
      <c r="BH326">
        <v>3</v>
      </c>
      <c r="BI326">
        <v>1</v>
      </c>
      <c r="BJ326" t="s">
        <v>455</v>
      </c>
      <c r="BM326">
        <v>500001</v>
      </c>
      <c r="BN326">
        <v>0</v>
      </c>
      <c r="BO326" t="s">
        <v>453</v>
      </c>
      <c r="BP326">
        <v>1</v>
      </c>
      <c r="BQ326">
        <v>8</v>
      </c>
      <c r="BR326">
        <v>0</v>
      </c>
      <c r="BS326">
        <v>1</v>
      </c>
      <c r="BT326">
        <v>1</v>
      </c>
      <c r="BU326">
        <v>1</v>
      </c>
      <c r="BV326">
        <v>1</v>
      </c>
      <c r="BW326">
        <v>1</v>
      </c>
      <c r="BX326">
        <v>1</v>
      </c>
      <c r="BY326" t="s">
        <v>3</v>
      </c>
      <c r="BZ326">
        <v>0</v>
      </c>
      <c r="CA326">
        <v>0</v>
      </c>
      <c r="CB326" t="s">
        <v>3</v>
      </c>
      <c r="CE326">
        <v>0</v>
      </c>
      <c r="CF326">
        <v>0</v>
      </c>
      <c r="CG326">
        <v>0</v>
      </c>
      <c r="CM326">
        <v>0</v>
      </c>
      <c r="CN326" t="s">
        <v>3</v>
      </c>
      <c r="CO326">
        <v>0</v>
      </c>
      <c r="CP326">
        <f t="shared" si="269"/>
        <v>27131.1</v>
      </c>
      <c r="CQ326">
        <f t="shared" si="270"/>
        <v>678.27760000000001</v>
      </c>
      <c r="CR326">
        <f t="shared" si="271"/>
        <v>0</v>
      </c>
      <c r="CS326">
        <f t="shared" si="272"/>
        <v>0</v>
      </c>
      <c r="CT326">
        <f t="shared" si="273"/>
        <v>0</v>
      </c>
      <c r="CU326">
        <f t="shared" si="274"/>
        <v>0</v>
      </c>
      <c r="CV326">
        <f t="shared" si="275"/>
        <v>0</v>
      </c>
      <c r="CW326">
        <f t="shared" si="276"/>
        <v>0</v>
      </c>
      <c r="CX326">
        <f t="shared" si="277"/>
        <v>0</v>
      </c>
      <c r="CY326">
        <f>0</f>
        <v>0</v>
      </c>
      <c r="CZ326">
        <f>0</f>
        <v>0</v>
      </c>
      <c r="DC326" t="s">
        <v>3</v>
      </c>
      <c r="DD326" t="s">
        <v>3</v>
      </c>
      <c r="DE326" t="s">
        <v>3</v>
      </c>
      <c r="DF326" t="s">
        <v>3</v>
      </c>
      <c r="DG326" t="s">
        <v>3</v>
      </c>
      <c r="DH326" t="s">
        <v>3</v>
      </c>
      <c r="DI326" t="s">
        <v>3</v>
      </c>
      <c r="DJ326" t="s">
        <v>3</v>
      </c>
      <c r="DK326" t="s">
        <v>3</v>
      </c>
      <c r="DL326" t="s">
        <v>3</v>
      </c>
      <c r="DM326" t="s">
        <v>3</v>
      </c>
      <c r="DN326">
        <v>0</v>
      </c>
      <c r="DO326">
        <v>0</v>
      </c>
      <c r="DP326">
        <v>1</v>
      </c>
      <c r="DQ326">
        <v>1</v>
      </c>
      <c r="DU326">
        <v>1003</v>
      </c>
      <c r="DV326" t="s">
        <v>368</v>
      </c>
      <c r="DW326" t="s">
        <v>368</v>
      </c>
      <c r="DX326">
        <v>1</v>
      </c>
      <c r="DZ326" t="s">
        <v>3</v>
      </c>
      <c r="EA326" t="s">
        <v>3</v>
      </c>
      <c r="EB326" t="s">
        <v>3</v>
      </c>
      <c r="EC326" t="s">
        <v>3</v>
      </c>
      <c r="EE326">
        <v>92109332</v>
      </c>
      <c r="EF326">
        <v>8</v>
      </c>
      <c r="EG326" t="s">
        <v>154</v>
      </c>
      <c r="EH326">
        <v>0</v>
      </c>
      <c r="EI326" t="s">
        <v>3</v>
      </c>
      <c r="EJ326">
        <v>1</v>
      </c>
      <c r="EK326">
        <v>500001</v>
      </c>
      <c r="EL326" t="s">
        <v>155</v>
      </c>
      <c r="EM326" t="s">
        <v>156</v>
      </c>
      <c r="EO326" t="s">
        <v>3</v>
      </c>
      <c r="EQ326">
        <v>0</v>
      </c>
      <c r="ER326">
        <v>93.17</v>
      </c>
      <c r="ES326">
        <v>93.17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FQ326">
        <v>0</v>
      </c>
      <c r="FR326">
        <f t="shared" si="278"/>
        <v>0</v>
      </c>
      <c r="FS326">
        <v>0</v>
      </c>
      <c r="FX326">
        <v>0</v>
      </c>
      <c r="FY326">
        <v>0</v>
      </c>
      <c r="GA326" t="s">
        <v>3</v>
      </c>
      <c r="GD326">
        <v>1</v>
      </c>
      <c r="GF326">
        <v>681697446</v>
      </c>
      <c r="GG326">
        <v>2</v>
      </c>
      <c r="GH326">
        <v>1</v>
      </c>
      <c r="GI326">
        <v>2</v>
      </c>
      <c r="GJ326">
        <v>0</v>
      </c>
      <c r="GK326">
        <v>0</v>
      </c>
      <c r="GL326">
        <f t="shared" si="279"/>
        <v>0</v>
      </c>
      <c r="GM326">
        <f t="shared" si="280"/>
        <v>27131.1</v>
      </c>
      <c r="GN326">
        <f t="shared" si="281"/>
        <v>27131.1</v>
      </c>
      <c r="GO326">
        <f t="shared" si="282"/>
        <v>0</v>
      </c>
      <c r="GP326">
        <f t="shared" si="283"/>
        <v>0</v>
      </c>
      <c r="GR326">
        <v>0</v>
      </c>
      <c r="GS326">
        <v>3</v>
      </c>
      <c r="GT326">
        <v>0</v>
      </c>
      <c r="GU326" t="s">
        <v>3</v>
      </c>
      <c r="GV326">
        <f t="shared" si="284"/>
        <v>0</v>
      </c>
      <c r="GW326">
        <v>1</v>
      </c>
      <c r="GX326">
        <f t="shared" si="285"/>
        <v>0</v>
      </c>
      <c r="HA326">
        <v>0</v>
      </c>
      <c r="HB326">
        <v>0</v>
      </c>
      <c r="HC326">
        <f t="shared" si="286"/>
        <v>0</v>
      </c>
      <c r="HE326" t="s">
        <v>3</v>
      </c>
      <c r="HF326" t="s">
        <v>3</v>
      </c>
      <c r="HM326" t="s">
        <v>3</v>
      </c>
      <c r="HN326" t="s">
        <v>3</v>
      </c>
      <c r="HO326" t="s">
        <v>3</v>
      </c>
      <c r="HP326" t="s">
        <v>3</v>
      </c>
      <c r="HQ326" t="s">
        <v>3</v>
      </c>
      <c r="IK326">
        <v>0</v>
      </c>
    </row>
    <row r="327" spans="1:245" x14ac:dyDescent="0.2">
      <c r="A327">
        <v>17</v>
      </c>
      <c r="B327">
        <v>1</v>
      </c>
      <c r="E327" t="s">
        <v>456</v>
      </c>
      <c r="F327" t="s">
        <v>412</v>
      </c>
      <c r="G327" t="s">
        <v>413</v>
      </c>
      <c r="H327" t="s">
        <v>52</v>
      </c>
      <c r="I327">
        <v>0.63400000000000001</v>
      </c>
      <c r="J327">
        <v>0</v>
      </c>
      <c r="K327">
        <v>0.63400000000000001</v>
      </c>
      <c r="O327">
        <f t="shared" si="249"/>
        <v>4478.75</v>
      </c>
      <c r="P327">
        <f t="shared" si="250"/>
        <v>4478.75</v>
      </c>
      <c r="Q327">
        <f t="shared" si="251"/>
        <v>0</v>
      </c>
      <c r="R327">
        <f t="shared" si="252"/>
        <v>0</v>
      </c>
      <c r="S327">
        <f t="shared" si="253"/>
        <v>0</v>
      </c>
      <c r="T327">
        <f t="shared" si="254"/>
        <v>0</v>
      </c>
      <c r="U327">
        <f t="shared" si="255"/>
        <v>0</v>
      </c>
      <c r="V327">
        <f t="shared" si="256"/>
        <v>0</v>
      </c>
      <c r="W327">
        <f t="shared" si="257"/>
        <v>0</v>
      </c>
      <c r="X327">
        <f t="shared" si="258"/>
        <v>0</v>
      </c>
      <c r="Y327">
        <f t="shared" si="259"/>
        <v>0</v>
      </c>
      <c r="AA327">
        <v>94798619</v>
      </c>
      <c r="AB327">
        <f t="shared" si="260"/>
        <v>633</v>
      </c>
      <c r="AC327">
        <f t="shared" si="261"/>
        <v>633</v>
      </c>
      <c r="AD327">
        <f t="shared" si="262"/>
        <v>0</v>
      </c>
      <c r="AE327">
        <f t="shared" si="263"/>
        <v>0</v>
      </c>
      <c r="AF327">
        <f t="shared" si="264"/>
        <v>0</v>
      </c>
      <c r="AG327">
        <f t="shared" si="265"/>
        <v>0</v>
      </c>
      <c r="AH327">
        <f t="shared" si="266"/>
        <v>0</v>
      </c>
      <c r="AI327">
        <f t="shared" si="267"/>
        <v>0</v>
      </c>
      <c r="AJ327">
        <f t="shared" si="268"/>
        <v>0</v>
      </c>
      <c r="AK327">
        <v>633</v>
      </c>
      <c r="AL327">
        <v>633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1</v>
      </c>
      <c r="AW327">
        <v>1</v>
      </c>
      <c r="AZ327">
        <v>1</v>
      </c>
      <c r="BA327">
        <v>1</v>
      </c>
      <c r="BB327">
        <v>1</v>
      </c>
      <c r="BC327">
        <v>11.16</v>
      </c>
      <c r="BD327" t="s">
        <v>3</v>
      </c>
      <c r="BE327" t="s">
        <v>3</v>
      </c>
      <c r="BF327" t="s">
        <v>3</v>
      </c>
      <c r="BG327" t="s">
        <v>3</v>
      </c>
      <c r="BH327">
        <v>3</v>
      </c>
      <c r="BI327">
        <v>1</v>
      </c>
      <c r="BJ327" t="s">
        <v>414</v>
      </c>
      <c r="BM327">
        <v>500001</v>
      </c>
      <c r="BN327">
        <v>0</v>
      </c>
      <c r="BO327" t="s">
        <v>412</v>
      </c>
      <c r="BP327">
        <v>1</v>
      </c>
      <c r="BQ327">
        <v>8</v>
      </c>
      <c r="BR327">
        <v>0</v>
      </c>
      <c r="BS327">
        <v>1</v>
      </c>
      <c r="BT327">
        <v>1</v>
      </c>
      <c r="BU327">
        <v>1</v>
      </c>
      <c r="BV327">
        <v>1</v>
      </c>
      <c r="BW327">
        <v>1</v>
      </c>
      <c r="BX327">
        <v>1</v>
      </c>
      <c r="BY327" t="s">
        <v>3</v>
      </c>
      <c r="BZ327">
        <v>0</v>
      </c>
      <c r="CA327">
        <v>0</v>
      </c>
      <c r="CB327" t="s">
        <v>3</v>
      </c>
      <c r="CE327">
        <v>0</v>
      </c>
      <c r="CF327">
        <v>0</v>
      </c>
      <c r="CG327">
        <v>0</v>
      </c>
      <c r="CM327">
        <v>0</v>
      </c>
      <c r="CN327" t="s">
        <v>3</v>
      </c>
      <c r="CO327">
        <v>0</v>
      </c>
      <c r="CP327">
        <f t="shared" si="269"/>
        <v>4478.75</v>
      </c>
      <c r="CQ327">
        <f t="shared" si="270"/>
        <v>7064.28</v>
      </c>
      <c r="CR327">
        <f t="shared" si="271"/>
        <v>0</v>
      </c>
      <c r="CS327">
        <f t="shared" si="272"/>
        <v>0</v>
      </c>
      <c r="CT327">
        <f t="shared" si="273"/>
        <v>0</v>
      </c>
      <c r="CU327">
        <f t="shared" si="274"/>
        <v>0</v>
      </c>
      <c r="CV327">
        <f t="shared" si="275"/>
        <v>0</v>
      </c>
      <c r="CW327">
        <f t="shared" si="276"/>
        <v>0</v>
      </c>
      <c r="CX327">
        <f t="shared" si="277"/>
        <v>0</v>
      </c>
      <c r="CY327">
        <f>0</f>
        <v>0</v>
      </c>
      <c r="CZ327">
        <f>0</f>
        <v>0</v>
      </c>
      <c r="DC327" t="s">
        <v>3</v>
      </c>
      <c r="DD327" t="s">
        <v>3</v>
      </c>
      <c r="DE327" t="s">
        <v>3</v>
      </c>
      <c r="DF327" t="s">
        <v>3</v>
      </c>
      <c r="DG327" t="s">
        <v>3</v>
      </c>
      <c r="DH327" t="s">
        <v>3</v>
      </c>
      <c r="DI327" t="s">
        <v>3</v>
      </c>
      <c r="DJ327" t="s">
        <v>3</v>
      </c>
      <c r="DK327" t="s">
        <v>3</v>
      </c>
      <c r="DL327" t="s">
        <v>3</v>
      </c>
      <c r="DM327" t="s">
        <v>3</v>
      </c>
      <c r="DN327">
        <v>0</v>
      </c>
      <c r="DO327">
        <v>0</v>
      </c>
      <c r="DP327">
        <v>1</v>
      </c>
      <c r="DQ327">
        <v>1</v>
      </c>
      <c r="DU327">
        <v>1007</v>
      </c>
      <c r="DV327" t="s">
        <v>52</v>
      </c>
      <c r="DW327" t="s">
        <v>52</v>
      </c>
      <c r="DX327">
        <v>1</v>
      </c>
      <c r="DZ327" t="s">
        <v>3</v>
      </c>
      <c r="EA327" t="s">
        <v>3</v>
      </c>
      <c r="EB327" t="s">
        <v>3</v>
      </c>
      <c r="EC327" t="s">
        <v>3</v>
      </c>
      <c r="EE327">
        <v>92109332</v>
      </c>
      <c r="EF327">
        <v>8</v>
      </c>
      <c r="EG327" t="s">
        <v>154</v>
      </c>
      <c r="EH327">
        <v>0</v>
      </c>
      <c r="EI327" t="s">
        <v>3</v>
      </c>
      <c r="EJ327">
        <v>1</v>
      </c>
      <c r="EK327">
        <v>500001</v>
      </c>
      <c r="EL327" t="s">
        <v>155</v>
      </c>
      <c r="EM327" t="s">
        <v>156</v>
      </c>
      <c r="EO327" t="s">
        <v>3</v>
      </c>
      <c r="EQ327">
        <v>0</v>
      </c>
      <c r="ER327">
        <v>633</v>
      </c>
      <c r="ES327">
        <v>633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FQ327">
        <v>0</v>
      </c>
      <c r="FR327">
        <f t="shared" si="278"/>
        <v>0</v>
      </c>
      <c r="FS327">
        <v>0</v>
      </c>
      <c r="FX327">
        <v>0</v>
      </c>
      <c r="FY327">
        <v>0</v>
      </c>
      <c r="GA327" t="s">
        <v>3</v>
      </c>
      <c r="GD327">
        <v>1</v>
      </c>
      <c r="GF327">
        <v>-1056028514</v>
      </c>
      <c r="GG327">
        <v>2</v>
      </c>
      <c r="GH327">
        <v>1</v>
      </c>
      <c r="GI327">
        <v>2</v>
      </c>
      <c r="GJ327">
        <v>0</v>
      </c>
      <c r="GK327">
        <v>0</v>
      </c>
      <c r="GL327">
        <f t="shared" si="279"/>
        <v>0</v>
      </c>
      <c r="GM327">
        <f t="shared" si="280"/>
        <v>4478.75</v>
      </c>
      <c r="GN327">
        <f t="shared" si="281"/>
        <v>4478.75</v>
      </c>
      <c r="GO327">
        <f t="shared" si="282"/>
        <v>0</v>
      </c>
      <c r="GP327">
        <f t="shared" si="283"/>
        <v>0</v>
      </c>
      <c r="GR327">
        <v>0</v>
      </c>
      <c r="GS327">
        <v>3</v>
      </c>
      <c r="GT327">
        <v>0</v>
      </c>
      <c r="GU327" t="s">
        <v>3</v>
      </c>
      <c r="GV327">
        <f t="shared" si="284"/>
        <v>0</v>
      </c>
      <c r="GW327">
        <v>1</v>
      </c>
      <c r="GX327">
        <f t="shared" si="285"/>
        <v>0</v>
      </c>
      <c r="HA327">
        <v>0</v>
      </c>
      <c r="HB327">
        <v>0</v>
      </c>
      <c r="HC327">
        <f t="shared" si="286"/>
        <v>0</v>
      </c>
      <c r="HE327" t="s">
        <v>3</v>
      </c>
      <c r="HF327" t="s">
        <v>3</v>
      </c>
      <c r="HM327" t="s">
        <v>3</v>
      </c>
      <c r="HN327" t="s">
        <v>3</v>
      </c>
      <c r="HO327" t="s">
        <v>3</v>
      </c>
      <c r="HP327" t="s">
        <v>3</v>
      </c>
      <c r="HQ327" t="s">
        <v>3</v>
      </c>
      <c r="IK327">
        <v>0</v>
      </c>
    </row>
    <row r="328" spans="1:245" x14ac:dyDescent="0.2">
      <c r="A328">
        <v>17</v>
      </c>
      <c r="B328">
        <v>1</v>
      </c>
      <c r="C328">
        <f>ROW(SmtRes!A314)</f>
        <v>314</v>
      </c>
      <c r="D328">
        <f>ROW(EtalonRes!A314)</f>
        <v>314</v>
      </c>
      <c r="E328" t="s">
        <v>457</v>
      </c>
      <c r="F328" t="s">
        <v>458</v>
      </c>
      <c r="G328" t="s">
        <v>459</v>
      </c>
      <c r="H328" t="s">
        <v>220</v>
      </c>
      <c r="I328">
        <v>0.29120000000000001</v>
      </c>
      <c r="J328">
        <v>0</v>
      </c>
      <c r="K328">
        <v>0.29120000000000001</v>
      </c>
      <c r="O328">
        <f t="shared" si="249"/>
        <v>2825.76</v>
      </c>
      <c r="P328">
        <f t="shared" si="250"/>
        <v>371.22</v>
      </c>
      <c r="Q328">
        <f t="shared" si="251"/>
        <v>1129.6300000000001</v>
      </c>
      <c r="R328">
        <f t="shared" si="252"/>
        <v>206.54</v>
      </c>
      <c r="S328">
        <f t="shared" si="253"/>
        <v>1324.91</v>
      </c>
      <c r="T328">
        <f t="shared" si="254"/>
        <v>0</v>
      </c>
      <c r="U328">
        <f t="shared" si="255"/>
        <v>4.5980480000000004</v>
      </c>
      <c r="V328">
        <f t="shared" si="256"/>
        <v>0.45427200000000006</v>
      </c>
      <c r="W328">
        <f t="shared" si="257"/>
        <v>0</v>
      </c>
      <c r="X328">
        <f t="shared" si="258"/>
        <v>1424.25</v>
      </c>
      <c r="Y328">
        <f t="shared" si="259"/>
        <v>949.5</v>
      </c>
      <c r="AA328">
        <v>94798619</v>
      </c>
      <c r="AB328">
        <f t="shared" si="260"/>
        <v>519.21</v>
      </c>
      <c r="AC328">
        <f t="shared" si="261"/>
        <v>84.76</v>
      </c>
      <c r="AD328">
        <f t="shared" si="262"/>
        <v>305.45</v>
      </c>
      <c r="AE328">
        <f t="shared" si="263"/>
        <v>20.11</v>
      </c>
      <c r="AF328">
        <f t="shared" si="264"/>
        <v>129</v>
      </c>
      <c r="AG328">
        <f t="shared" si="265"/>
        <v>0</v>
      </c>
      <c r="AH328">
        <f t="shared" si="266"/>
        <v>15.79</v>
      </c>
      <c r="AI328">
        <f t="shared" si="267"/>
        <v>1.56</v>
      </c>
      <c r="AJ328">
        <f t="shared" si="268"/>
        <v>0</v>
      </c>
      <c r="AK328">
        <v>519.21</v>
      </c>
      <c r="AL328">
        <v>84.76</v>
      </c>
      <c r="AM328">
        <v>305.45</v>
      </c>
      <c r="AN328">
        <v>20.11</v>
      </c>
      <c r="AO328">
        <v>129</v>
      </c>
      <c r="AP328">
        <v>0</v>
      </c>
      <c r="AQ328">
        <v>15.79</v>
      </c>
      <c r="AR328">
        <v>1.56</v>
      </c>
      <c r="AS328">
        <v>0</v>
      </c>
      <c r="AT328">
        <v>93</v>
      </c>
      <c r="AU328">
        <v>62</v>
      </c>
      <c r="AV328">
        <v>1</v>
      </c>
      <c r="AW328">
        <v>1</v>
      </c>
      <c r="AZ328">
        <v>1</v>
      </c>
      <c r="BA328">
        <v>35.270000000000003</v>
      </c>
      <c r="BB328">
        <v>12.7</v>
      </c>
      <c r="BC328">
        <v>15.04</v>
      </c>
      <c r="BD328" t="s">
        <v>3</v>
      </c>
      <c r="BE328" t="s">
        <v>3</v>
      </c>
      <c r="BF328" t="s">
        <v>3</v>
      </c>
      <c r="BG328" t="s">
        <v>3</v>
      </c>
      <c r="BH328">
        <v>0</v>
      </c>
      <c r="BI328">
        <v>1</v>
      </c>
      <c r="BJ328" t="s">
        <v>460</v>
      </c>
      <c r="BM328">
        <v>9001</v>
      </c>
      <c r="BN328">
        <v>0</v>
      </c>
      <c r="BO328" t="s">
        <v>458</v>
      </c>
      <c r="BP328">
        <v>1</v>
      </c>
      <c r="BQ328">
        <v>2</v>
      </c>
      <c r="BR328">
        <v>0</v>
      </c>
      <c r="BS328">
        <v>35.270000000000003</v>
      </c>
      <c r="BT328">
        <v>1</v>
      </c>
      <c r="BU328">
        <v>1</v>
      </c>
      <c r="BV328">
        <v>1</v>
      </c>
      <c r="BW328">
        <v>1</v>
      </c>
      <c r="BX328">
        <v>1</v>
      </c>
      <c r="BY328" t="s">
        <v>3</v>
      </c>
      <c r="BZ328">
        <v>93</v>
      </c>
      <c r="CA328">
        <v>62</v>
      </c>
      <c r="CB328" t="s">
        <v>3</v>
      </c>
      <c r="CE328">
        <v>0</v>
      </c>
      <c r="CF328">
        <v>0</v>
      </c>
      <c r="CG328">
        <v>0</v>
      </c>
      <c r="CM328">
        <v>0</v>
      </c>
      <c r="CN328" t="s">
        <v>3</v>
      </c>
      <c r="CO328">
        <v>0</v>
      </c>
      <c r="CP328">
        <f t="shared" si="269"/>
        <v>2825.76</v>
      </c>
      <c r="CQ328">
        <f t="shared" si="270"/>
        <v>1274.7904000000001</v>
      </c>
      <c r="CR328">
        <f t="shared" si="271"/>
        <v>3879.2149999999997</v>
      </c>
      <c r="CS328">
        <f t="shared" si="272"/>
        <v>709.27970000000005</v>
      </c>
      <c r="CT328">
        <f t="shared" si="273"/>
        <v>4549.8300000000008</v>
      </c>
      <c r="CU328">
        <f t="shared" si="274"/>
        <v>0</v>
      </c>
      <c r="CV328">
        <f t="shared" si="275"/>
        <v>15.79</v>
      </c>
      <c r="CW328">
        <f t="shared" si="276"/>
        <v>1.56</v>
      </c>
      <c r="CX328">
        <f t="shared" si="277"/>
        <v>0</v>
      </c>
      <c r="CY328">
        <f>(((S328+R328)*AT328)/100)</f>
        <v>1424.2485000000001</v>
      </c>
      <c r="CZ328">
        <f>(((S328+R328)*AU328)/100)</f>
        <v>949.49900000000014</v>
      </c>
      <c r="DC328" t="s">
        <v>3</v>
      </c>
      <c r="DD328" t="s">
        <v>3</v>
      </c>
      <c r="DE328" t="s">
        <v>3</v>
      </c>
      <c r="DF328" t="s">
        <v>3</v>
      </c>
      <c r="DG328" t="s">
        <v>3</v>
      </c>
      <c r="DH328" t="s">
        <v>3</v>
      </c>
      <c r="DI328" t="s">
        <v>3</v>
      </c>
      <c r="DJ328" t="s">
        <v>3</v>
      </c>
      <c r="DK328" t="s">
        <v>3</v>
      </c>
      <c r="DL328" t="s">
        <v>3</v>
      </c>
      <c r="DM328" t="s">
        <v>3</v>
      </c>
      <c r="DN328">
        <v>0</v>
      </c>
      <c r="DO328">
        <v>0</v>
      </c>
      <c r="DP328">
        <v>1</v>
      </c>
      <c r="DQ328">
        <v>1</v>
      </c>
      <c r="DU328">
        <v>1013</v>
      </c>
      <c r="DV328" t="s">
        <v>220</v>
      </c>
      <c r="DW328" t="s">
        <v>220</v>
      </c>
      <c r="DX328">
        <v>1</v>
      </c>
      <c r="DZ328" t="s">
        <v>3</v>
      </c>
      <c r="EA328" t="s">
        <v>3</v>
      </c>
      <c r="EB328" t="s">
        <v>3</v>
      </c>
      <c r="EC328" t="s">
        <v>3</v>
      </c>
      <c r="EE328">
        <v>92109398</v>
      </c>
      <c r="EF328">
        <v>2</v>
      </c>
      <c r="EG328" t="s">
        <v>21</v>
      </c>
      <c r="EH328">
        <v>9</v>
      </c>
      <c r="EI328" t="s">
        <v>40</v>
      </c>
      <c r="EJ328">
        <v>1</v>
      </c>
      <c r="EK328">
        <v>9001</v>
      </c>
      <c r="EL328" t="s">
        <v>40</v>
      </c>
      <c r="EM328" t="s">
        <v>41</v>
      </c>
      <c r="EO328" t="s">
        <v>3</v>
      </c>
      <c r="EQ328">
        <v>0</v>
      </c>
      <c r="ER328">
        <v>519.21</v>
      </c>
      <c r="ES328">
        <v>84.76</v>
      </c>
      <c r="ET328">
        <v>305.45</v>
      </c>
      <c r="EU328">
        <v>20.11</v>
      </c>
      <c r="EV328">
        <v>129</v>
      </c>
      <c r="EW328">
        <v>15.79</v>
      </c>
      <c r="EX328">
        <v>1.56</v>
      </c>
      <c r="EY328">
        <v>0</v>
      </c>
      <c r="FQ328">
        <v>0</v>
      </c>
      <c r="FR328">
        <f t="shared" si="278"/>
        <v>0</v>
      </c>
      <c r="FS328">
        <v>0</v>
      </c>
      <c r="FX328">
        <v>93</v>
      </c>
      <c r="FY328">
        <v>62</v>
      </c>
      <c r="GA328" t="s">
        <v>3</v>
      </c>
      <c r="GD328">
        <v>1</v>
      </c>
      <c r="GF328">
        <v>523126605</v>
      </c>
      <c r="GG328">
        <v>2</v>
      </c>
      <c r="GH328">
        <v>1</v>
      </c>
      <c r="GI328">
        <v>2</v>
      </c>
      <c r="GJ328">
        <v>0</v>
      </c>
      <c r="GK328">
        <v>0</v>
      </c>
      <c r="GL328">
        <f t="shared" si="279"/>
        <v>0</v>
      </c>
      <c r="GM328">
        <f t="shared" si="280"/>
        <v>5199.51</v>
      </c>
      <c r="GN328">
        <f t="shared" si="281"/>
        <v>5199.51</v>
      </c>
      <c r="GO328">
        <f t="shared" si="282"/>
        <v>0</v>
      </c>
      <c r="GP328">
        <f t="shared" si="283"/>
        <v>0</v>
      </c>
      <c r="GR328">
        <v>0</v>
      </c>
      <c r="GS328">
        <v>3</v>
      </c>
      <c r="GT328">
        <v>0</v>
      </c>
      <c r="GU328" t="s">
        <v>3</v>
      </c>
      <c r="GV328">
        <f t="shared" si="284"/>
        <v>0</v>
      </c>
      <c r="GW328">
        <v>1</v>
      </c>
      <c r="GX328">
        <f t="shared" si="285"/>
        <v>0</v>
      </c>
      <c r="HA328">
        <v>0</v>
      </c>
      <c r="HB328">
        <v>0</v>
      </c>
      <c r="HC328">
        <f t="shared" si="286"/>
        <v>0</v>
      </c>
      <c r="HE328" t="s">
        <v>3</v>
      </c>
      <c r="HF328" t="s">
        <v>3</v>
      </c>
      <c r="HM328" t="s">
        <v>3</v>
      </c>
      <c r="HN328" t="s">
        <v>42</v>
      </c>
      <c r="HO328" t="s">
        <v>43</v>
      </c>
      <c r="HP328" t="s">
        <v>40</v>
      </c>
      <c r="HQ328" t="s">
        <v>40</v>
      </c>
      <c r="IK328">
        <v>0</v>
      </c>
    </row>
    <row r="329" spans="1:245" x14ac:dyDescent="0.2">
      <c r="A329">
        <v>18</v>
      </c>
      <c r="B329">
        <v>1</v>
      </c>
      <c r="C329">
        <v>313</v>
      </c>
      <c r="E329" t="s">
        <v>461</v>
      </c>
      <c r="F329" t="s">
        <v>256</v>
      </c>
      <c r="G329" t="s">
        <v>257</v>
      </c>
      <c r="H329" t="s">
        <v>170</v>
      </c>
      <c r="I329">
        <f>I328*J329</f>
        <v>0.29120000000000001</v>
      </c>
      <c r="J329">
        <v>1</v>
      </c>
      <c r="K329">
        <v>1</v>
      </c>
      <c r="O329">
        <f t="shared" si="249"/>
        <v>0</v>
      </c>
      <c r="P329">
        <f t="shared" si="250"/>
        <v>0</v>
      </c>
      <c r="Q329">
        <f t="shared" si="251"/>
        <v>0</v>
      </c>
      <c r="R329">
        <f t="shared" si="252"/>
        <v>0</v>
      </c>
      <c r="S329">
        <f t="shared" si="253"/>
        <v>0</v>
      </c>
      <c r="T329">
        <f t="shared" si="254"/>
        <v>0</v>
      </c>
      <c r="U329">
        <f t="shared" si="255"/>
        <v>0</v>
      </c>
      <c r="V329">
        <f t="shared" si="256"/>
        <v>0</v>
      </c>
      <c r="W329">
        <f t="shared" si="257"/>
        <v>0</v>
      </c>
      <c r="X329">
        <f t="shared" si="258"/>
        <v>0</v>
      </c>
      <c r="Y329">
        <f t="shared" si="259"/>
        <v>0</v>
      </c>
      <c r="AA329">
        <v>94798619</v>
      </c>
      <c r="AB329">
        <f t="shared" si="260"/>
        <v>0</v>
      </c>
      <c r="AC329">
        <f t="shared" si="261"/>
        <v>0</v>
      </c>
      <c r="AD329">
        <f t="shared" si="262"/>
        <v>0</v>
      </c>
      <c r="AE329">
        <f t="shared" si="263"/>
        <v>0</v>
      </c>
      <c r="AF329">
        <f t="shared" si="264"/>
        <v>0</v>
      </c>
      <c r="AG329">
        <f t="shared" si="265"/>
        <v>0</v>
      </c>
      <c r="AH329">
        <f t="shared" si="266"/>
        <v>0</v>
      </c>
      <c r="AI329">
        <f t="shared" si="267"/>
        <v>0</v>
      </c>
      <c r="AJ329">
        <f t="shared" si="268"/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93</v>
      </c>
      <c r="AU329">
        <v>62</v>
      </c>
      <c r="AV329">
        <v>1</v>
      </c>
      <c r="AW329">
        <v>1</v>
      </c>
      <c r="AZ329">
        <v>1</v>
      </c>
      <c r="BA329">
        <v>1</v>
      </c>
      <c r="BB329">
        <v>1</v>
      </c>
      <c r="BC329">
        <v>1</v>
      </c>
      <c r="BD329" t="s">
        <v>3</v>
      </c>
      <c r="BE329" t="s">
        <v>3</v>
      </c>
      <c r="BF329" t="s">
        <v>3</v>
      </c>
      <c r="BG329" t="s">
        <v>3</v>
      </c>
      <c r="BH329">
        <v>3</v>
      </c>
      <c r="BI329">
        <v>1</v>
      </c>
      <c r="BJ329" t="s">
        <v>258</v>
      </c>
      <c r="BM329">
        <v>9001</v>
      </c>
      <c r="BN329">
        <v>0</v>
      </c>
      <c r="BO329" t="s">
        <v>3</v>
      </c>
      <c r="BP329">
        <v>0</v>
      </c>
      <c r="BQ329">
        <v>2</v>
      </c>
      <c r="BR329">
        <v>0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3</v>
      </c>
      <c r="BZ329">
        <v>93</v>
      </c>
      <c r="CA329">
        <v>62</v>
      </c>
      <c r="CB329" t="s">
        <v>3</v>
      </c>
      <c r="CE329">
        <v>0</v>
      </c>
      <c r="CF329">
        <v>0</v>
      </c>
      <c r="CG329">
        <v>0</v>
      </c>
      <c r="CM329">
        <v>0</v>
      </c>
      <c r="CN329" t="s">
        <v>3</v>
      </c>
      <c r="CO329">
        <v>0</v>
      </c>
      <c r="CP329">
        <f t="shared" si="269"/>
        <v>0</v>
      </c>
      <c r="CQ329">
        <f t="shared" si="270"/>
        <v>0</v>
      </c>
      <c r="CR329">
        <f t="shared" si="271"/>
        <v>0</v>
      </c>
      <c r="CS329">
        <f t="shared" si="272"/>
        <v>0</v>
      </c>
      <c r="CT329">
        <f t="shared" si="273"/>
        <v>0</v>
      </c>
      <c r="CU329">
        <f t="shared" si="274"/>
        <v>0</v>
      </c>
      <c r="CV329">
        <f t="shared" si="275"/>
        <v>0</v>
      </c>
      <c r="CW329">
        <f t="shared" si="276"/>
        <v>0</v>
      </c>
      <c r="CX329">
        <f t="shared" si="277"/>
        <v>0</v>
      </c>
      <c r="CY329">
        <f>(((S329+R329)*AT329)/100)</f>
        <v>0</v>
      </c>
      <c r="CZ329">
        <f>(((S329+R329)*AU329)/100)</f>
        <v>0</v>
      </c>
      <c r="DC329" t="s">
        <v>3</v>
      </c>
      <c r="DD329" t="s">
        <v>3</v>
      </c>
      <c r="DE329" t="s">
        <v>3</v>
      </c>
      <c r="DF329" t="s">
        <v>3</v>
      </c>
      <c r="DG329" t="s">
        <v>3</v>
      </c>
      <c r="DH329" t="s">
        <v>3</v>
      </c>
      <c r="DI329" t="s">
        <v>3</v>
      </c>
      <c r="DJ329" t="s">
        <v>3</v>
      </c>
      <c r="DK329" t="s">
        <v>3</v>
      </c>
      <c r="DL329" t="s">
        <v>3</v>
      </c>
      <c r="DM329" t="s">
        <v>3</v>
      </c>
      <c r="DN329">
        <v>0</v>
      </c>
      <c r="DO329">
        <v>0</v>
      </c>
      <c r="DP329">
        <v>1</v>
      </c>
      <c r="DQ329">
        <v>1</v>
      </c>
      <c r="DU329">
        <v>1009</v>
      </c>
      <c r="DV329" t="s">
        <v>170</v>
      </c>
      <c r="DW329" t="s">
        <v>170</v>
      </c>
      <c r="DX329">
        <v>1000</v>
      </c>
      <c r="DZ329" t="s">
        <v>3</v>
      </c>
      <c r="EA329" t="s">
        <v>3</v>
      </c>
      <c r="EB329" t="s">
        <v>3</v>
      </c>
      <c r="EC329" t="s">
        <v>3</v>
      </c>
      <c r="EE329">
        <v>92109398</v>
      </c>
      <c r="EF329">
        <v>2</v>
      </c>
      <c r="EG329" t="s">
        <v>21</v>
      </c>
      <c r="EH329">
        <v>9</v>
      </c>
      <c r="EI329" t="s">
        <v>40</v>
      </c>
      <c r="EJ329">
        <v>1</v>
      </c>
      <c r="EK329">
        <v>9001</v>
      </c>
      <c r="EL329" t="s">
        <v>40</v>
      </c>
      <c r="EM329" t="s">
        <v>41</v>
      </c>
      <c r="EO329" t="s">
        <v>3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FQ329">
        <v>0</v>
      </c>
      <c r="FR329">
        <f t="shared" si="278"/>
        <v>0</v>
      </c>
      <c r="FS329">
        <v>0</v>
      </c>
      <c r="FX329">
        <v>93</v>
      </c>
      <c r="FY329">
        <v>62</v>
      </c>
      <c r="GA329" t="s">
        <v>3</v>
      </c>
      <c r="GD329">
        <v>1</v>
      </c>
      <c r="GF329">
        <v>-494558740</v>
      </c>
      <c r="GG329">
        <v>2</v>
      </c>
      <c r="GH329">
        <v>1</v>
      </c>
      <c r="GI329">
        <v>-2</v>
      </c>
      <c r="GJ329">
        <v>0</v>
      </c>
      <c r="GK329">
        <v>0</v>
      </c>
      <c r="GL329">
        <f t="shared" si="279"/>
        <v>0</v>
      </c>
      <c r="GM329">
        <f t="shared" si="280"/>
        <v>0</v>
      </c>
      <c r="GN329">
        <f t="shared" si="281"/>
        <v>0</v>
      </c>
      <c r="GO329">
        <f t="shared" si="282"/>
        <v>0</v>
      </c>
      <c r="GP329">
        <f t="shared" si="283"/>
        <v>0</v>
      </c>
      <c r="GR329">
        <v>0</v>
      </c>
      <c r="GS329">
        <v>3</v>
      </c>
      <c r="GT329">
        <v>0</v>
      </c>
      <c r="GU329" t="s">
        <v>3</v>
      </c>
      <c r="GV329">
        <f t="shared" si="284"/>
        <v>0</v>
      </c>
      <c r="GW329">
        <v>1</v>
      </c>
      <c r="GX329">
        <f t="shared" si="285"/>
        <v>0</v>
      </c>
      <c r="HA329">
        <v>0</v>
      </c>
      <c r="HB329">
        <v>0</v>
      </c>
      <c r="HC329">
        <f t="shared" si="286"/>
        <v>0</v>
      </c>
      <c r="HE329" t="s">
        <v>3</v>
      </c>
      <c r="HF329" t="s">
        <v>3</v>
      </c>
      <c r="HM329" t="s">
        <v>3</v>
      </c>
      <c r="HN329" t="s">
        <v>42</v>
      </c>
      <c r="HO329" t="s">
        <v>43</v>
      </c>
      <c r="HP329" t="s">
        <v>40</v>
      </c>
      <c r="HQ329" t="s">
        <v>40</v>
      </c>
      <c r="IK329">
        <v>0</v>
      </c>
    </row>
    <row r="330" spans="1:245" x14ac:dyDescent="0.2">
      <c r="A330">
        <v>17</v>
      </c>
      <c r="B330">
        <v>1</v>
      </c>
      <c r="E330" t="s">
        <v>462</v>
      </c>
      <c r="F330" t="s">
        <v>463</v>
      </c>
      <c r="G330" t="s">
        <v>464</v>
      </c>
      <c r="H330" t="s">
        <v>170</v>
      </c>
      <c r="I330">
        <f>ROUND(28*10.4/1000,9)</f>
        <v>0.29120000000000001</v>
      </c>
      <c r="J330">
        <v>0</v>
      </c>
      <c r="K330">
        <f>ROUND(28*10.4/1000,9)</f>
        <v>0.29120000000000001</v>
      </c>
      <c r="O330">
        <f t="shared" si="249"/>
        <v>20275.96</v>
      </c>
      <c r="P330">
        <f t="shared" si="250"/>
        <v>20275.96</v>
      </c>
      <c r="Q330">
        <f t="shared" si="251"/>
        <v>0</v>
      </c>
      <c r="R330">
        <f t="shared" si="252"/>
        <v>0</v>
      </c>
      <c r="S330">
        <f t="shared" si="253"/>
        <v>0</v>
      </c>
      <c r="T330">
        <f t="shared" si="254"/>
        <v>0</v>
      </c>
      <c r="U330">
        <f t="shared" si="255"/>
        <v>0</v>
      </c>
      <c r="V330">
        <f t="shared" si="256"/>
        <v>0</v>
      </c>
      <c r="W330">
        <f t="shared" si="257"/>
        <v>0</v>
      </c>
      <c r="X330">
        <f t="shared" si="258"/>
        <v>0</v>
      </c>
      <c r="Y330">
        <f t="shared" si="259"/>
        <v>0</v>
      </c>
      <c r="AA330">
        <v>94798619</v>
      </c>
      <c r="AB330">
        <f t="shared" si="260"/>
        <v>4973.5</v>
      </c>
      <c r="AC330">
        <f t="shared" si="261"/>
        <v>4973.5</v>
      </c>
      <c r="AD330">
        <f t="shared" si="262"/>
        <v>0</v>
      </c>
      <c r="AE330">
        <f t="shared" si="263"/>
        <v>0</v>
      </c>
      <c r="AF330">
        <f t="shared" si="264"/>
        <v>0</v>
      </c>
      <c r="AG330">
        <f t="shared" si="265"/>
        <v>0</v>
      </c>
      <c r="AH330">
        <f t="shared" si="266"/>
        <v>0</v>
      </c>
      <c r="AI330">
        <f t="shared" si="267"/>
        <v>0</v>
      </c>
      <c r="AJ330">
        <f t="shared" si="268"/>
        <v>0</v>
      </c>
      <c r="AK330">
        <v>4973.5</v>
      </c>
      <c r="AL330">
        <v>4973.5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1</v>
      </c>
      <c r="AW330">
        <v>1</v>
      </c>
      <c r="AZ330">
        <v>1</v>
      </c>
      <c r="BA330">
        <v>1</v>
      </c>
      <c r="BB330">
        <v>1</v>
      </c>
      <c r="BC330">
        <v>14</v>
      </c>
      <c r="BD330" t="s">
        <v>3</v>
      </c>
      <c r="BE330" t="s">
        <v>3</v>
      </c>
      <c r="BF330" t="s">
        <v>3</v>
      </c>
      <c r="BG330" t="s">
        <v>3</v>
      </c>
      <c r="BH330">
        <v>3</v>
      </c>
      <c r="BI330">
        <v>1</v>
      </c>
      <c r="BJ330" t="s">
        <v>465</v>
      </c>
      <c r="BM330">
        <v>500001</v>
      </c>
      <c r="BN330">
        <v>0</v>
      </c>
      <c r="BO330" t="s">
        <v>463</v>
      </c>
      <c r="BP330">
        <v>1</v>
      </c>
      <c r="BQ330">
        <v>8</v>
      </c>
      <c r="BR330">
        <v>0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 t="s">
        <v>3</v>
      </c>
      <c r="BZ330">
        <v>0</v>
      </c>
      <c r="CA330">
        <v>0</v>
      </c>
      <c r="CB330" t="s">
        <v>3</v>
      </c>
      <c r="CE330">
        <v>0</v>
      </c>
      <c r="CF330">
        <v>0</v>
      </c>
      <c r="CG330">
        <v>0</v>
      </c>
      <c r="CM330">
        <v>0</v>
      </c>
      <c r="CN330" t="s">
        <v>3</v>
      </c>
      <c r="CO330">
        <v>0</v>
      </c>
      <c r="CP330">
        <f t="shared" si="269"/>
        <v>20275.96</v>
      </c>
      <c r="CQ330">
        <f t="shared" si="270"/>
        <v>69629</v>
      </c>
      <c r="CR330">
        <f t="shared" si="271"/>
        <v>0</v>
      </c>
      <c r="CS330">
        <f t="shared" si="272"/>
        <v>0</v>
      </c>
      <c r="CT330">
        <f t="shared" si="273"/>
        <v>0</v>
      </c>
      <c r="CU330">
        <f t="shared" si="274"/>
        <v>0</v>
      </c>
      <c r="CV330">
        <f t="shared" si="275"/>
        <v>0</v>
      </c>
      <c r="CW330">
        <f t="shared" si="276"/>
        <v>0</v>
      </c>
      <c r="CX330">
        <f t="shared" si="277"/>
        <v>0</v>
      </c>
      <c r="CY330">
        <f>0</f>
        <v>0</v>
      </c>
      <c r="CZ330">
        <f>0</f>
        <v>0</v>
      </c>
      <c r="DC330" t="s">
        <v>3</v>
      </c>
      <c r="DD330" t="s">
        <v>3</v>
      </c>
      <c r="DE330" t="s">
        <v>3</v>
      </c>
      <c r="DF330" t="s">
        <v>3</v>
      </c>
      <c r="DG330" t="s">
        <v>3</v>
      </c>
      <c r="DH330" t="s">
        <v>3</v>
      </c>
      <c r="DI330" t="s">
        <v>3</v>
      </c>
      <c r="DJ330" t="s">
        <v>3</v>
      </c>
      <c r="DK330" t="s">
        <v>3</v>
      </c>
      <c r="DL330" t="s">
        <v>3</v>
      </c>
      <c r="DM330" t="s">
        <v>3</v>
      </c>
      <c r="DN330">
        <v>0</v>
      </c>
      <c r="DO330">
        <v>0</v>
      </c>
      <c r="DP330">
        <v>1</v>
      </c>
      <c r="DQ330">
        <v>1</v>
      </c>
      <c r="DU330">
        <v>1009</v>
      </c>
      <c r="DV330" t="s">
        <v>170</v>
      </c>
      <c r="DW330" t="s">
        <v>170</v>
      </c>
      <c r="DX330">
        <v>1000</v>
      </c>
      <c r="DZ330" t="s">
        <v>3</v>
      </c>
      <c r="EA330" t="s">
        <v>3</v>
      </c>
      <c r="EB330" t="s">
        <v>3</v>
      </c>
      <c r="EC330" t="s">
        <v>3</v>
      </c>
      <c r="EE330">
        <v>92109332</v>
      </c>
      <c r="EF330">
        <v>8</v>
      </c>
      <c r="EG330" t="s">
        <v>154</v>
      </c>
      <c r="EH330">
        <v>0</v>
      </c>
      <c r="EI330" t="s">
        <v>3</v>
      </c>
      <c r="EJ330">
        <v>1</v>
      </c>
      <c r="EK330">
        <v>500001</v>
      </c>
      <c r="EL330" t="s">
        <v>155</v>
      </c>
      <c r="EM330" t="s">
        <v>156</v>
      </c>
      <c r="EO330" t="s">
        <v>3</v>
      </c>
      <c r="EQ330">
        <v>0</v>
      </c>
      <c r="ER330">
        <v>4973.5</v>
      </c>
      <c r="ES330">
        <v>4973.5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FQ330">
        <v>0</v>
      </c>
      <c r="FR330">
        <f t="shared" si="278"/>
        <v>0</v>
      </c>
      <c r="FS330">
        <v>0</v>
      </c>
      <c r="FX330">
        <v>0</v>
      </c>
      <c r="FY330">
        <v>0</v>
      </c>
      <c r="GA330" t="s">
        <v>3</v>
      </c>
      <c r="GD330">
        <v>1</v>
      </c>
      <c r="GF330">
        <v>-1158300765</v>
      </c>
      <c r="GG330">
        <v>2</v>
      </c>
      <c r="GH330">
        <v>1</v>
      </c>
      <c r="GI330">
        <v>2</v>
      </c>
      <c r="GJ330">
        <v>0</v>
      </c>
      <c r="GK330">
        <v>0</v>
      </c>
      <c r="GL330">
        <f t="shared" si="279"/>
        <v>0</v>
      </c>
      <c r="GM330">
        <f t="shared" si="280"/>
        <v>20275.96</v>
      </c>
      <c r="GN330">
        <f t="shared" si="281"/>
        <v>20275.96</v>
      </c>
      <c r="GO330">
        <f t="shared" si="282"/>
        <v>0</v>
      </c>
      <c r="GP330">
        <f t="shared" si="283"/>
        <v>0</v>
      </c>
      <c r="GR330">
        <v>0</v>
      </c>
      <c r="GS330">
        <v>3</v>
      </c>
      <c r="GT330">
        <v>0</v>
      </c>
      <c r="GU330" t="s">
        <v>3</v>
      </c>
      <c r="GV330">
        <f t="shared" si="284"/>
        <v>0</v>
      </c>
      <c r="GW330">
        <v>1</v>
      </c>
      <c r="GX330">
        <f t="shared" si="285"/>
        <v>0</v>
      </c>
      <c r="HA330">
        <v>0</v>
      </c>
      <c r="HB330">
        <v>0</v>
      </c>
      <c r="HC330">
        <f t="shared" si="286"/>
        <v>0</v>
      </c>
      <c r="HE330" t="s">
        <v>3</v>
      </c>
      <c r="HF330" t="s">
        <v>3</v>
      </c>
      <c r="HM330" t="s">
        <v>3</v>
      </c>
      <c r="HN330" t="s">
        <v>3</v>
      </c>
      <c r="HO330" t="s">
        <v>3</v>
      </c>
      <c r="HP330" t="s">
        <v>3</v>
      </c>
      <c r="HQ330" t="s">
        <v>3</v>
      </c>
      <c r="IK330">
        <v>0</v>
      </c>
    </row>
    <row r="331" spans="1:245" x14ac:dyDescent="0.2">
      <c r="A331">
        <v>17</v>
      </c>
      <c r="B331">
        <v>1</v>
      </c>
      <c r="C331">
        <f>ROW(SmtRes!A339)</f>
        <v>339</v>
      </c>
      <c r="D331">
        <f>ROW(EtalonRes!A339)</f>
        <v>339</v>
      </c>
      <c r="E331" t="s">
        <v>466</v>
      </c>
      <c r="F331" t="s">
        <v>467</v>
      </c>
      <c r="G331" t="s">
        <v>468</v>
      </c>
      <c r="H331" t="s">
        <v>430</v>
      </c>
      <c r="I331">
        <f>ROUND(24/100,9)</f>
        <v>0.24</v>
      </c>
      <c r="J331">
        <v>0</v>
      </c>
      <c r="K331">
        <f>ROUND(24/100,9)</f>
        <v>0.24</v>
      </c>
      <c r="O331">
        <f t="shared" si="249"/>
        <v>4587.2</v>
      </c>
      <c r="P331">
        <f t="shared" si="250"/>
        <v>565.54</v>
      </c>
      <c r="Q331">
        <f t="shared" si="251"/>
        <v>1566.53</v>
      </c>
      <c r="R331">
        <f t="shared" si="252"/>
        <v>283.91000000000003</v>
      </c>
      <c r="S331">
        <f t="shared" si="253"/>
        <v>2455.13</v>
      </c>
      <c r="T331">
        <f t="shared" si="254"/>
        <v>0</v>
      </c>
      <c r="U331">
        <f t="shared" si="255"/>
        <v>8.52</v>
      </c>
      <c r="V331">
        <f t="shared" si="256"/>
        <v>0.62639999999999996</v>
      </c>
      <c r="W331">
        <f t="shared" si="257"/>
        <v>0</v>
      </c>
      <c r="X331">
        <f t="shared" si="258"/>
        <v>2547.31</v>
      </c>
      <c r="Y331">
        <f t="shared" si="259"/>
        <v>1698.2</v>
      </c>
      <c r="AA331">
        <v>94798619</v>
      </c>
      <c r="AB331">
        <f t="shared" si="260"/>
        <v>959.83</v>
      </c>
      <c r="AC331">
        <f t="shared" si="261"/>
        <v>154.62</v>
      </c>
      <c r="AD331">
        <f t="shared" si="262"/>
        <v>515.16999999999996</v>
      </c>
      <c r="AE331">
        <f t="shared" si="263"/>
        <v>33.54</v>
      </c>
      <c r="AF331">
        <f t="shared" si="264"/>
        <v>290.04000000000002</v>
      </c>
      <c r="AG331">
        <f t="shared" si="265"/>
        <v>0</v>
      </c>
      <c r="AH331">
        <f t="shared" si="266"/>
        <v>35.5</v>
      </c>
      <c r="AI331">
        <f t="shared" si="267"/>
        <v>2.61</v>
      </c>
      <c r="AJ331">
        <f t="shared" si="268"/>
        <v>0</v>
      </c>
      <c r="AK331">
        <v>959.83</v>
      </c>
      <c r="AL331">
        <v>154.62</v>
      </c>
      <c r="AM331">
        <v>515.16999999999996</v>
      </c>
      <c r="AN331">
        <v>33.54</v>
      </c>
      <c r="AO331">
        <v>290.04000000000002</v>
      </c>
      <c r="AP331">
        <v>0</v>
      </c>
      <c r="AQ331">
        <v>35.5</v>
      </c>
      <c r="AR331">
        <v>2.61</v>
      </c>
      <c r="AS331">
        <v>0</v>
      </c>
      <c r="AT331">
        <v>93</v>
      </c>
      <c r="AU331">
        <v>62</v>
      </c>
      <c r="AV331">
        <v>1</v>
      </c>
      <c r="AW331">
        <v>1</v>
      </c>
      <c r="AZ331">
        <v>1</v>
      </c>
      <c r="BA331">
        <v>35.270000000000003</v>
      </c>
      <c r="BB331">
        <v>12.67</v>
      </c>
      <c r="BC331">
        <v>15.24</v>
      </c>
      <c r="BD331" t="s">
        <v>3</v>
      </c>
      <c r="BE331" t="s">
        <v>3</v>
      </c>
      <c r="BF331" t="s">
        <v>3</v>
      </c>
      <c r="BG331" t="s">
        <v>3</v>
      </c>
      <c r="BH331">
        <v>0</v>
      </c>
      <c r="BI331">
        <v>1</v>
      </c>
      <c r="BJ331" t="s">
        <v>469</v>
      </c>
      <c r="BM331">
        <v>9001</v>
      </c>
      <c r="BN331">
        <v>0</v>
      </c>
      <c r="BO331" t="s">
        <v>467</v>
      </c>
      <c r="BP331">
        <v>1</v>
      </c>
      <c r="BQ331">
        <v>2</v>
      </c>
      <c r="BR331">
        <v>0</v>
      </c>
      <c r="BS331">
        <v>35.270000000000003</v>
      </c>
      <c r="BT331">
        <v>1</v>
      </c>
      <c r="BU331">
        <v>1</v>
      </c>
      <c r="BV331">
        <v>1</v>
      </c>
      <c r="BW331">
        <v>1</v>
      </c>
      <c r="BX331">
        <v>1</v>
      </c>
      <c r="BY331" t="s">
        <v>3</v>
      </c>
      <c r="BZ331">
        <v>93</v>
      </c>
      <c r="CA331">
        <v>62</v>
      </c>
      <c r="CB331" t="s">
        <v>3</v>
      </c>
      <c r="CE331">
        <v>0</v>
      </c>
      <c r="CF331">
        <v>0</v>
      </c>
      <c r="CG331">
        <v>0</v>
      </c>
      <c r="CM331">
        <v>0</v>
      </c>
      <c r="CN331" t="s">
        <v>3</v>
      </c>
      <c r="CO331">
        <v>0</v>
      </c>
      <c r="CP331">
        <f t="shared" si="269"/>
        <v>4587.2</v>
      </c>
      <c r="CQ331">
        <f t="shared" si="270"/>
        <v>2356.4088000000002</v>
      </c>
      <c r="CR331">
        <f t="shared" si="271"/>
        <v>6527.2038999999986</v>
      </c>
      <c r="CS331">
        <f t="shared" si="272"/>
        <v>1182.9558000000002</v>
      </c>
      <c r="CT331">
        <f t="shared" si="273"/>
        <v>10229.710800000001</v>
      </c>
      <c r="CU331">
        <f t="shared" si="274"/>
        <v>0</v>
      </c>
      <c r="CV331">
        <f t="shared" si="275"/>
        <v>35.5</v>
      </c>
      <c r="CW331">
        <f t="shared" si="276"/>
        <v>2.61</v>
      </c>
      <c r="CX331">
        <f t="shared" si="277"/>
        <v>0</v>
      </c>
      <c r="CY331">
        <f>(((S331+R331)*AT331)/100)</f>
        <v>2547.3072000000002</v>
      </c>
      <c r="CZ331">
        <f>(((S331+R331)*AU331)/100)</f>
        <v>1698.2048000000002</v>
      </c>
      <c r="DC331" t="s">
        <v>3</v>
      </c>
      <c r="DD331" t="s">
        <v>3</v>
      </c>
      <c r="DE331" t="s">
        <v>3</v>
      </c>
      <c r="DF331" t="s">
        <v>3</v>
      </c>
      <c r="DG331" t="s">
        <v>3</v>
      </c>
      <c r="DH331" t="s">
        <v>3</v>
      </c>
      <c r="DI331" t="s">
        <v>3</v>
      </c>
      <c r="DJ331" t="s">
        <v>3</v>
      </c>
      <c r="DK331" t="s">
        <v>3</v>
      </c>
      <c r="DL331" t="s">
        <v>3</v>
      </c>
      <c r="DM331" t="s">
        <v>3</v>
      </c>
      <c r="DN331">
        <v>0</v>
      </c>
      <c r="DO331">
        <v>0</v>
      </c>
      <c r="DP331">
        <v>1</v>
      </c>
      <c r="DQ331">
        <v>1</v>
      </c>
      <c r="DU331">
        <v>1013</v>
      </c>
      <c r="DV331" t="s">
        <v>430</v>
      </c>
      <c r="DW331" t="s">
        <v>430</v>
      </c>
      <c r="DX331">
        <v>1</v>
      </c>
      <c r="DZ331" t="s">
        <v>3</v>
      </c>
      <c r="EA331" t="s">
        <v>3</v>
      </c>
      <c r="EB331" t="s">
        <v>3</v>
      </c>
      <c r="EC331" t="s">
        <v>3</v>
      </c>
      <c r="EE331">
        <v>92109398</v>
      </c>
      <c r="EF331">
        <v>2</v>
      </c>
      <c r="EG331" t="s">
        <v>21</v>
      </c>
      <c r="EH331">
        <v>9</v>
      </c>
      <c r="EI331" t="s">
        <v>40</v>
      </c>
      <c r="EJ331">
        <v>1</v>
      </c>
      <c r="EK331">
        <v>9001</v>
      </c>
      <c r="EL331" t="s">
        <v>40</v>
      </c>
      <c r="EM331" t="s">
        <v>41</v>
      </c>
      <c r="EO331" t="s">
        <v>3</v>
      </c>
      <c r="EQ331">
        <v>0</v>
      </c>
      <c r="ER331">
        <v>959.83</v>
      </c>
      <c r="ES331">
        <v>154.62</v>
      </c>
      <c r="ET331">
        <v>515.16999999999996</v>
      </c>
      <c r="EU331">
        <v>33.54</v>
      </c>
      <c r="EV331">
        <v>290.04000000000002</v>
      </c>
      <c r="EW331">
        <v>35.5</v>
      </c>
      <c r="EX331">
        <v>2.61</v>
      </c>
      <c r="EY331">
        <v>0</v>
      </c>
      <c r="FQ331">
        <v>0</v>
      </c>
      <c r="FR331">
        <f t="shared" si="278"/>
        <v>0</v>
      </c>
      <c r="FS331">
        <v>0</v>
      </c>
      <c r="FX331">
        <v>93</v>
      </c>
      <c r="FY331">
        <v>62</v>
      </c>
      <c r="GA331" t="s">
        <v>3</v>
      </c>
      <c r="GD331">
        <v>1</v>
      </c>
      <c r="GF331">
        <v>91777435</v>
      </c>
      <c r="GG331">
        <v>2</v>
      </c>
      <c r="GH331">
        <v>1</v>
      </c>
      <c r="GI331">
        <v>2</v>
      </c>
      <c r="GJ331">
        <v>0</v>
      </c>
      <c r="GK331">
        <v>0</v>
      </c>
      <c r="GL331">
        <f t="shared" si="279"/>
        <v>0</v>
      </c>
      <c r="GM331">
        <f t="shared" si="280"/>
        <v>8832.7099999999991</v>
      </c>
      <c r="GN331">
        <f t="shared" si="281"/>
        <v>8832.7099999999991</v>
      </c>
      <c r="GO331">
        <f t="shared" si="282"/>
        <v>0</v>
      </c>
      <c r="GP331">
        <f t="shared" si="283"/>
        <v>0</v>
      </c>
      <c r="GR331">
        <v>0</v>
      </c>
      <c r="GS331">
        <v>3</v>
      </c>
      <c r="GT331">
        <v>0</v>
      </c>
      <c r="GU331" t="s">
        <v>3</v>
      </c>
      <c r="GV331">
        <f t="shared" si="284"/>
        <v>0</v>
      </c>
      <c r="GW331">
        <v>1</v>
      </c>
      <c r="GX331">
        <f t="shared" si="285"/>
        <v>0</v>
      </c>
      <c r="HA331">
        <v>0</v>
      </c>
      <c r="HB331">
        <v>0</v>
      </c>
      <c r="HC331">
        <f t="shared" si="286"/>
        <v>0</v>
      </c>
      <c r="HE331" t="s">
        <v>3</v>
      </c>
      <c r="HF331" t="s">
        <v>3</v>
      </c>
      <c r="HM331" t="s">
        <v>3</v>
      </c>
      <c r="HN331" t="s">
        <v>42</v>
      </c>
      <c r="HO331" t="s">
        <v>43</v>
      </c>
      <c r="HP331" t="s">
        <v>40</v>
      </c>
      <c r="HQ331" t="s">
        <v>40</v>
      </c>
      <c r="IK331">
        <v>0</v>
      </c>
    </row>
    <row r="332" spans="1:245" x14ac:dyDescent="0.2">
      <c r="A332">
        <v>18</v>
      </c>
      <c r="B332">
        <v>1</v>
      </c>
      <c r="C332">
        <v>334</v>
      </c>
      <c r="E332" t="s">
        <v>470</v>
      </c>
      <c r="F332" t="s">
        <v>376</v>
      </c>
      <c r="G332" t="s">
        <v>377</v>
      </c>
      <c r="H332" t="s">
        <v>170</v>
      </c>
      <c r="I332">
        <f>I331*J332</f>
        <v>0</v>
      </c>
      <c r="J332">
        <v>0</v>
      </c>
      <c r="K332">
        <v>0</v>
      </c>
      <c r="O332">
        <f t="shared" si="249"/>
        <v>0</v>
      </c>
      <c r="P332">
        <f t="shared" si="250"/>
        <v>0</v>
      </c>
      <c r="Q332">
        <f t="shared" si="251"/>
        <v>0</v>
      </c>
      <c r="R332">
        <f t="shared" si="252"/>
        <v>0</v>
      </c>
      <c r="S332">
        <f t="shared" si="253"/>
        <v>0</v>
      </c>
      <c r="T332">
        <f t="shared" si="254"/>
        <v>0</v>
      </c>
      <c r="U332">
        <f t="shared" si="255"/>
        <v>0</v>
      </c>
      <c r="V332">
        <f t="shared" si="256"/>
        <v>0</v>
      </c>
      <c r="W332">
        <f t="shared" si="257"/>
        <v>0</v>
      </c>
      <c r="X332">
        <f t="shared" si="258"/>
        <v>0</v>
      </c>
      <c r="Y332">
        <f t="shared" si="259"/>
        <v>0</v>
      </c>
      <c r="AA332">
        <v>94798619</v>
      </c>
      <c r="AB332">
        <f t="shared" si="260"/>
        <v>0</v>
      </c>
      <c r="AC332">
        <f t="shared" si="261"/>
        <v>0</v>
      </c>
      <c r="AD332">
        <f t="shared" si="262"/>
        <v>0</v>
      </c>
      <c r="AE332">
        <f t="shared" si="263"/>
        <v>0</v>
      </c>
      <c r="AF332">
        <f t="shared" si="264"/>
        <v>0</v>
      </c>
      <c r="AG332">
        <f t="shared" si="265"/>
        <v>0</v>
      </c>
      <c r="AH332">
        <f t="shared" si="266"/>
        <v>0</v>
      </c>
      <c r="AI332">
        <f t="shared" si="267"/>
        <v>0</v>
      </c>
      <c r="AJ332">
        <f t="shared" si="268"/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93</v>
      </c>
      <c r="AU332">
        <v>62</v>
      </c>
      <c r="AV332">
        <v>1</v>
      </c>
      <c r="AW332">
        <v>1</v>
      </c>
      <c r="AZ332">
        <v>1</v>
      </c>
      <c r="BA332">
        <v>1</v>
      </c>
      <c r="BB332">
        <v>1</v>
      </c>
      <c r="BC332">
        <v>1</v>
      </c>
      <c r="BD332" t="s">
        <v>3</v>
      </c>
      <c r="BE332" t="s">
        <v>3</v>
      </c>
      <c r="BF332" t="s">
        <v>3</v>
      </c>
      <c r="BG332" t="s">
        <v>3</v>
      </c>
      <c r="BH332">
        <v>3</v>
      </c>
      <c r="BI332">
        <v>1</v>
      </c>
      <c r="BJ332" t="s">
        <v>378</v>
      </c>
      <c r="BM332">
        <v>9001</v>
      </c>
      <c r="BN332">
        <v>0</v>
      </c>
      <c r="BO332" t="s">
        <v>3</v>
      </c>
      <c r="BP332">
        <v>0</v>
      </c>
      <c r="BQ332">
        <v>2</v>
      </c>
      <c r="BR332">
        <v>0</v>
      </c>
      <c r="BS332">
        <v>1</v>
      </c>
      <c r="BT332">
        <v>1</v>
      </c>
      <c r="BU332">
        <v>1</v>
      </c>
      <c r="BV332">
        <v>1</v>
      </c>
      <c r="BW332">
        <v>1</v>
      </c>
      <c r="BX332">
        <v>1</v>
      </c>
      <c r="BY332" t="s">
        <v>3</v>
      </c>
      <c r="BZ332">
        <v>93</v>
      </c>
      <c r="CA332">
        <v>62</v>
      </c>
      <c r="CB332" t="s">
        <v>3</v>
      </c>
      <c r="CE332">
        <v>0</v>
      </c>
      <c r="CF332">
        <v>0</v>
      </c>
      <c r="CG332">
        <v>0</v>
      </c>
      <c r="CM332">
        <v>0</v>
      </c>
      <c r="CN332" t="s">
        <v>3</v>
      </c>
      <c r="CO332">
        <v>0</v>
      </c>
      <c r="CP332">
        <f t="shared" si="269"/>
        <v>0</v>
      </c>
      <c r="CQ332">
        <f t="shared" si="270"/>
        <v>0</v>
      </c>
      <c r="CR332">
        <f t="shared" si="271"/>
        <v>0</v>
      </c>
      <c r="CS332">
        <f t="shared" si="272"/>
        <v>0</v>
      </c>
      <c r="CT332">
        <f t="shared" si="273"/>
        <v>0</v>
      </c>
      <c r="CU332">
        <f t="shared" si="274"/>
        <v>0</v>
      </c>
      <c r="CV332">
        <f t="shared" si="275"/>
        <v>0</v>
      </c>
      <c r="CW332">
        <f t="shared" si="276"/>
        <v>0</v>
      </c>
      <c r="CX332">
        <f t="shared" si="277"/>
        <v>0</v>
      </c>
      <c r="CY332">
        <f>(((S332+R332)*AT332)/100)</f>
        <v>0</v>
      </c>
      <c r="CZ332">
        <f>(((S332+R332)*AU332)/100)</f>
        <v>0</v>
      </c>
      <c r="DC332" t="s">
        <v>3</v>
      </c>
      <c r="DD332" t="s">
        <v>3</v>
      </c>
      <c r="DE332" t="s">
        <v>3</v>
      </c>
      <c r="DF332" t="s">
        <v>3</v>
      </c>
      <c r="DG332" t="s">
        <v>3</v>
      </c>
      <c r="DH332" t="s">
        <v>3</v>
      </c>
      <c r="DI332" t="s">
        <v>3</v>
      </c>
      <c r="DJ332" t="s">
        <v>3</v>
      </c>
      <c r="DK332" t="s">
        <v>3</v>
      </c>
      <c r="DL332" t="s">
        <v>3</v>
      </c>
      <c r="DM332" t="s">
        <v>3</v>
      </c>
      <c r="DN332">
        <v>0</v>
      </c>
      <c r="DO332">
        <v>0</v>
      </c>
      <c r="DP332">
        <v>1</v>
      </c>
      <c r="DQ332">
        <v>1</v>
      </c>
      <c r="DU332">
        <v>1009</v>
      </c>
      <c r="DV332" t="s">
        <v>170</v>
      </c>
      <c r="DW332" t="s">
        <v>170</v>
      </c>
      <c r="DX332">
        <v>1000</v>
      </c>
      <c r="DZ332" t="s">
        <v>3</v>
      </c>
      <c r="EA332" t="s">
        <v>3</v>
      </c>
      <c r="EB332" t="s">
        <v>3</v>
      </c>
      <c r="EC332" t="s">
        <v>3</v>
      </c>
      <c r="EE332">
        <v>92109398</v>
      </c>
      <c r="EF332">
        <v>2</v>
      </c>
      <c r="EG332" t="s">
        <v>21</v>
      </c>
      <c r="EH332">
        <v>9</v>
      </c>
      <c r="EI332" t="s">
        <v>40</v>
      </c>
      <c r="EJ332">
        <v>1</v>
      </c>
      <c r="EK332">
        <v>9001</v>
      </c>
      <c r="EL332" t="s">
        <v>40</v>
      </c>
      <c r="EM332" t="s">
        <v>41</v>
      </c>
      <c r="EO332" t="s">
        <v>3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FQ332">
        <v>0</v>
      </c>
      <c r="FR332">
        <f t="shared" si="278"/>
        <v>0</v>
      </c>
      <c r="FS332">
        <v>0</v>
      </c>
      <c r="FX332">
        <v>93</v>
      </c>
      <c r="FY332">
        <v>62</v>
      </c>
      <c r="GA332" t="s">
        <v>3</v>
      </c>
      <c r="GD332">
        <v>1</v>
      </c>
      <c r="GF332">
        <v>1958438708</v>
      </c>
      <c r="GG332">
        <v>2</v>
      </c>
      <c r="GH332">
        <v>1</v>
      </c>
      <c r="GI332">
        <v>-2</v>
      </c>
      <c r="GJ332">
        <v>0</v>
      </c>
      <c r="GK332">
        <v>0</v>
      </c>
      <c r="GL332">
        <f t="shared" si="279"/>
        <v>0</v>
      </c>
      <c r="GM332">
        <f t="shared" si="280"/>
        <v>0</v>
      </c>
      <c r="GN332">
        <f t="shared" si="281"/>
        <v>0</v>
      </c>
      <c r="GO332">
        <f t="shared" si="282"/>
        <v>0</v>
      </c>
      <c r="GP332">
        <f t="shared" si="283"/>
        <v>0</v>
      </c>
      <c r="GR332">
        <v>0</v>
      </c>
      <c r="GS332">
        <v>3</v>
      </c>
      <c r="GT332">
        <v>0</v>
      </c>
      <c r="GU332" t="s">
        <v>3</v>
      </c>
      <c r="GV332">
        <f t="shared" si="284"/>
        <v>0</v>
      </c>
      <c r="GW332">
        <v>1</v>
      </c>
      <c r="GX332">
        <f t="shared" si="285"/>
        <v>0</v>
      </c>
      <c r="HA332">
        <v>0</v>
      </c>
      <c r="HB332">
        <v>0</v>
      </c>
      <c r="HC332">
        <f t="shared" si="286"/>
        <v>0</v>
      </c>
      <c r="HE332" t="s">
        <v>3</v>
      </c>
      <c r="HF332" t="s">
        <v>3</v>
      </c>
      <c r="HM332" t="s">
        <v>3</v>
      </c>
      <c r="HN332" t="s">
        <v>42</v>
      </c>
      <c r="HO332" t="s">
        <v>43</v>
      </c>
      <c r="HP332" t="s">
        <v>40</v>
      </c>
      <c r="HQ332" t="s">
        <v>40</v>
      </c>
      <c r="IK332">
        <v>0</v>
      </c>
    </row>
    <row r="333" spans="1:245" x14ac:dyDescent="0.2">
      <c r="A333">
        <v>18</v>
      </c>
      <c r="B333">
        <v>1</v>
      </c>
      <c r="C333">
        <v>335</v>
      </c>
      <c r="E333" t="s">
        <v>471</v>
      </c>
      <c r="F333" t="s">
        <v>380</v>
      </c>
      <c r="G333" t="s">
        <v>381</v>
      </c>
      <c r="H333" t="s">
        <v>170</v>
      </c>
      <c r="I333">
        <f>I331*J333</f>
        <v>0</v>
      </c>
      <c r="J333">
        <v>0</v>
      </c>
      <c r="K333">
        <v>0</v>
      </c>
      <c r="O333">
        <f t="shared" si="249"/>
        <v>0</v>
      </c>
      <c r="P333">
        <f t="shared" si="250"/>
        <v>0</v>
      </c>
      <c r="Q333">
        <f t="shared" si="251"/>
        <v>0</v>
      </c>
      <c r="R333">
        <f t="shared" si="252"/>
        <v>0</v>
      </c>
      <c r="S333">
        <f t="shared" si="253"/>
        <v>0</v>
      </c>
      <c r="T333">
        <f t="shared" si="254"/>
        <v>0</v>
      </c>
      <c r="U333">
        <f t="shared" si="255"/>
        <v>0</v>
      </c>
      <c r="V333">
        <f t="shared" si="256"/>
        <v>0</v>
      </c>
      <c r="W333">
        <f t="shared" si="257"/>
        <v>0</v>
      </c>
      <c r="X333">
        <f t="shared" si="258"/>
        <v>0</v>
      </c>
      <c r="Y333">
        <f t="shared" si="259"/>
        <v>0</v>
      </c>
      <c r="AA333">
        <v>94798619</v>
      </c>
      <c r="AB333">
        <f t="shared" si="260"/>
        <v>0</v>
      </c>
      <c r="AC333">
        <f t="shared" si="261"/>
        <v>0</v>
      </c>
      <c r="AD333">
        <f t="shared" si="262"/>
        <v>0</v>
      </c>
      <c r="AE333">
        <f t="shared" si="263"/>
        <v>0</v>
      </c>
      <c r="AF333">
        <f t="shared" si="264"/>
        <v>0</v>
      </c>
      <c r="AG333">
        <f t="shared" si="265"/>
        <v>0</v>
      </c>
      <c r="AH333">
        <f t="shared" si="266"/>
        <v>0</v>
      </c>
      <c r="AI333">
        <f t="shared" si="267"/>
        <v>0</v>
      </c>
      <c r="AJ333">
        <f t="shared" si="268"/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93</v>
      </c>
      <c r="AU333">
        <v>62</v>
      </c>
      <c r="AV333">
        <v>1</v>
      </c>
      <c r="AW333">
        <v>1</v>
      </c>
      <c r="AZ333">
        <v>1</v>
      </c>
      <c r="BA333">
        <v>1</v>
      </c>
      <c r="BB333">
        <v>1</v>
      </c>
      <c r="BC333">
        <v>1</v>
      </c>
      <c r="BD333" t="s">
        <v>3</v>
      </c>
      <c r="BE333" t="s">
        <v>3</v>
      </c>
      <c r="BF333" t="s">
        <v>3</v>
      </c>
      <c r="BG333" t="s">
        <v>3</v>
      </c>
      <c r="BH333">
        <v>3</v>
      </c>
      <c r="BI333">
        <v>1</v>
      </c>
      <c r="BJ333" t="s">
        <v>382</v>
      </c>
      <c r="BM333">
        <v>9001</v>
      </c>
      <c r="BN333">
        <v>0</v>
      </c>
      <c r="BO333" t="s">
        <v>3</v>
      </c>
      <c r="BP333">
        <v>0</v>
      </c>
      <c r="BQ333">
        <v>2</v>
      </c>
      <c r="BR333">
        <v>0</v>
      </c>
      <c r="BS333">
        <v>1</v>
      </c>
      <c r="BT333">
        <v>1</v>
      </c>
      <c r="BU333">
        <v>1</v>
      </c>
      <c r="BV333">
        <v>1</v>
      </c>
      <c r="BW333">
        <v>1</v>
      </c>
      <c r="BX333">
        <v>1</v>
      </c>
      <c r="BY333" t="s">
        <v>3</v>
      </c>
      <c r="BZ333">
        <v>93</v>
      </c>
      <c r="CA333">
        <v>62</v>
      </c>
      <c r="CB333" t="s">
        <v>3</v>
      </c>
      <c r="CE333">
        <v>0</v>
      </c>
      <c r="CF333">
        <v>0</v>
      </c>
      <c r="CG333">
        <v>0</v>
      </c>
      <c r="CM333">
        <v>0</v>
      </c>
      <c r="CN333" t="s">
        <v>3</v>
      </c>
      <c r="CO333">
        <v>0</v>
      </c>
      <c r="CP333">
        <f t="shared" si="269"/>
        <v>0</v>
      </c>
      <c r="CQ333">
        <f t="shared" si="270"/>
        <v>0</v>
      </c>
      <c r="CR333">
        <f t="shared" si="271"/>
        <v>0</v>
      </c>
      <c r="CS333">
        <f t="shared" si="272"/>
        <v>0</v>
      </c>
      <c r="CT333">
        <f t="shared" si="273"/>
        <v>0</v>
      </c>
      <c r="CU333">
        <f t="shared" si="274"/>
        <v>0</v>
      </c>
      <c r="CV333">
        <f t="shared" si="275"/>
        <v>0</v>
      </c>
      <c r="CW333">
        <f t="shared" si="276"/>
        <v>0</v>
      </c>
      <c r="CX333">
        <f t="shared" si="277"/>
        <v>0</v>
      </c>
      <c r="CY333">
        <f>(((S333+R333)*AT333)/100)</f>
        <v>0</v>
      </c>
      <c r="CZ333">
        <f>(((S333+R333)*AU333)/100)</f>
        <v>0</v>
      </c>
      <c r="DC333" t="s">
        <v>3</v>
      </c>
      <c r="DD333" t="s">
        <v>3</v>
      </c>
      <c r="DE333" t="s">
        <v>3</v>
      </c>
      <c r="DF333" t="s">
        <v>3</v>
      </c>
      <c r="DG333" t="s">
        <v>3</v>
      </c>
      <c r="DH333" t="s">
        <v>3</v>
      </c>
      <c r="DI333" t="s">
        <v>3</v>
      </c>
      <c r="DJ333" t="s">
        <v>3</v>
      </c>
      <c r="DK333" t="s">
        <v>3</v>
      </c>
      <c r="DL333" t="s">
        <v>3</v>
      </c>
      <c r="DM333" t="s">
        <v>3</v>
      </c>
      <c r="DN333">
        <v>0</v>
      </c>
      <c r="DO333">
        <v>0</v>
      </c>
      <c r="DP333">
        <v>1</v>
      </c>
      <c r="DQ333">
        <v>1</v>
      </c>
      <c r="DU333">
        <v>1009</v>
      </c>
      <c r="DV333" t="s">
        <v>170</v>
      </c>
      <c r="DW333" t="s">
        <v>170</v>
      </c>
      <c r="DX333">
        <v>1000</v>
      </c>
      <c r="DZ333" t="s">
        <v>3</v>
      </c>
      <c r="EA333" t="s">
        <v>3</v>
      </c>
      <c r="EB333" t="s">
        <v>3</v>
      </c>
      <c r="EC333" t="s">
        <v>3</v>
      </c>
      <c r="EE333">
        <v>92109398</v>
      </c>
      <c r="EF333">
        <v>2</v>
      </c>
      <c r="EG333" t="s">
        <v>21</v>
      </c>
      <c r="EH333">
        <v>9</v>
      </c>
      <c r="EI333" t="s">
        <v>40</v>
      </c>
      <c r="EJ333">
        <v>1</v>
      </c>
      <c r="EK333">
        <v>9001</v>
      </c>
      <c r="EL333" t="s">
        <v>40</v>
      </c>
      <c r="EM333" t="s">
        <v>41</v>
      </c>
      <c r="EO333" t="s">
        <v>3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FQ333">
        <v>0</v>
      </c>
      <c r="FR333">
        <f t="shared" si="278"/>
        <v>0</v>
      </c>
      <c r="FS333">
        <v>0</v>
      </c>
      <c r="FX333">
        <v>93</v>
      </c>
      <c r="FY333">
        <v>62</v>
      </c>
      <c r="GA333" t="s">
        <v>3</v>
      </c>
      <c r="GD333">
        <v>1</v>
      </c>
      <c r="GF333">
        <v>1071627226</v>
      </c>
      <c r="GG333">
        <v>2</v>
      </c>
      <c r="GH333">
        <v>1</v>
      </c>
      <c r="GI333">
        <v>-2</v>
      </c>
      <c r="GJ333">
        <v>0</v>
      </c>
      <c r="GK333">
        <v>0</v>
      </c>
      <c r="GL333">
        <f t="shared" si="279"/>
        <v>0</v>
      </c>
      <c r="GM333">
        <f t="shared" si="280"/>
        <v>0</v>
      </c>
      <c r="GN333">
        <f t="shared" si="281"/>
        <v>0</v>
      </c>
      <c r="GO333">
        <f t="shared" si="282"/>
        <v>0</v>
      </c>
      <c r="GP333">
        <f t="shared" si="283"/>
        <v>0</v>
      </c>
      <c r="GR333">
        <v>0</v>
      </c>
      <c r="GS333">
        <v>3</v>
      </c>
      <c r="GT333">
        <v>0</v>
      </c>
      <c r="GU333" t="s">
        <v>3</v>
      </c>
      <c r="GV333">
        <f t="shared" si="284"/>
        <v>0</v>
      </c>
      <c r="GW333">
        <v>1</v>
      </c>
      <c r="GX333">
        <f t="shared" si="285"/>
        <v>0</v>
      </c>
      <c r="HA333">
        <v>0</v>
      </c>
      <c r="HB333">
        <v>0</v>
      </c>
      <c r="HC333">
        <f t="shared" si="286"/>
        <v>0</v>
      </c>
      <c r="HE333" t="s">
        <v>3</v>
      </c>
      <c r="HF333" t="s">
        <v>3</v>
      </c>
      <c r="HM333" t="s">
        <v>3</v>
      </c>
      <c r="HN333" t="s">
        <v>42</v>
      </c>
      <c r="HO333" t="s">
        <v>43</v>
      </c>
      <c r="HP333" t="s">
        <v>40</v>
      </c>
      <c r="HQ333" t="s">
        <v>40</v>
      </c>
      <c r="IK333">
        <v>0</v>
      </c>
    </row>
    <row r="334" spans="1:245" x14ac:dyDescent="0.2">
      <c r="A334">
        <v>17</v>
      </c>
      <c r="B334">
        <v>1</v>
      </c>
      <c r="E334" t="s">
        <v>472</v>
      </c>
      <c r="F334" t="s">
        <v>473</v>
      </c>
      <c r="G334" t="s">
        <v>474</v>
      </c>
      <c r="H334" t="s">
        <v>475</v>
      </c>
      <c r="I334">
        <f>ROUND(200/10,9)</f>
        <v>20</v>
      </c>
      <c r="J334">
        <v>0</v>
      </c>
      <c r="K334">
        <f>ROUND(200/10,9)</f>
        <v>20</v>
      </c>
      <c r="O334">
        <f t="shared" si="249"/>
        <v>534.98</v>
      </c>
      <c r="P334">
        <f t="shared" si="250"/>
        <v>534.98</v>
      </c>
      <c r="Q334">
        <f t="shared" si="251"/>
        <v>0</v>
      </c>
      <c r="R334">
        <f t="shared" si="252"/>
        <v>0</v>
      </c>
      <c r="S334">
        <f t="shared" si="253"/>
        <v>0</v>
      </c>
      <c r="T334">
        <f t="shared" si="254"/>
        <v>0</v>
      </c>
      <c r="U334">
        <f t="shared" si="255"/>
        <v>0</v>
      </c>
      <c r="V334">
        <f t="shared" si="256"/>
        <v>0</v>
      </c>
      <c r="W334">
        <f t="shared" si="257"/>
        <v>0</v>
      </c>
      <c r="X334">
        <f t="shared" si="258"/>
        <v>0</v>
      </c>
      <c r="Y334">
        <f t="shared" si="259"/>
        <v>0</v>
      </c>
      <c r="AA334">
        <v>94798619</v>
      </c>
      <c r="AB334">
        <f t="shared" si="260"/>
        <v>4.16</v>
      </c>
      <c r="AC334">
        <f t="shared" si="261"/>
        <v>4.16</v>
      </c>
      <c r="AD334">
        <f t="shared" si="262"/>
        <v>0</v>
      </c>
      <c r="AE334">
        <f t="shared" si="263"/>
        <v>0</v>
      </c>
      <c r="AF334">
        <f t="shared" si="264"/>
        <v>0</v>
      </c>
      <c r="AG334">
        <f t="shared" si="265"/>
        <v>0</v>
      </c>
      <c r="AH334">
        <f t="shared" si="266"/>
        <v>0</v>
      </c>
      <c r="AI334">
        <f t="shared" si="267"/>
        <v>0</v>
      </c>
      <c r="AJ334">
        <f t="shared" si="268"/>
        <v>0</v>
      </c>
      <c r="AK334">
        <v>4.16</v>
      </c>
      <c r="AL334">
        <v>4.16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1</v>
      </c>
      <c r="AW334">
        <v>1</v>
      </c>
      <c r="AZ334">
        <v>1</v>
      </c>
      <c r="BA334">
        <v>1</v>
      </c>
      <c r="BB334">
        <v>1</v>
      </c>
      <c r="BC334">
        <v>6.43</v>
      </c>
      <c r="BD334" t="s">
        <v>3</v>
      </c>
      <c r="BE334" t="s">
        <v>3</v>
      </c>
      <c r="BF334" t="s">
        <v>3</v>
      </c>
      <c r="BG334" t="s">
        <v>3</v>
      </c>
      <c r="BH334">
        <v>3</v>
      </c>
      <c r="BI334">
        <v>1</v>
      </c>
      <c r="BJ334" t="s">
        <v>476</v>
      </c>
      <c r="BM334">
        <v>500001</v>
      </c>
      <c r="BN334">
        <v>0</v>
      </c>
      <c r="BO334" t="s">
        <v>473</v>
      </c>
      <c r="BP334">
        <v>1</v>
      </c>
      <c r="BQ334">
        <v>8</v>
      </c>
      <c r="BR334">
        <v>0</v>
      </c>
      <c r="BS334">
        <v>1</v>
      </c>
      <c r="BT334">
        <v>1</v>
      </c>
      <c r="BU334">
        <v>1</v>
      </c>
      <c r="BV334">
        <v>1</v>
      </c>
      <c r="BW334">
        <v>1</v>
      </c>
      <c r="BX334">
        <v>1</v>
      </c>
      <c r="BY334" t="s">
        <v>3</v>
      </c>
      <c r="BZ334">
        <v>0</v>
      </c>
      <c r="CA334">
        <v>0</v>
      </c>
      <c r="CB334" t="s">
        <v>3</v>
      </c>
      <c r="CE334">
        <v>0</v>
      </c>
      <c r="CF334">
        <v>0</v>
      </c>
      <c r="CG334">
        <v>0</v>
      </c>
      <c r="CM334">
        <v>0</v>
      </c>
      <c r="CN334" t="s">
        <v>3</v>
      </c>
      <c r="CO334">
        <v>0</v>
      </c>
      <c r="CP334">
        <f t="shared" si="269"/>
        <v>534.98</v>
      </c>
      <c r="CQ334">
        <f t="shared" si="270"/>
        <v>26.748799999999999</v>
      </c>
      <c r="CR334">
        <f t="shared" si="271"/>
        <v>0</v>
      </c>
      <c r="CS334">
        <f t="shared" si="272"/>
        <v>0</v>
      </c>
      <c r="CT334">
        <f t="shared" si="273"/>
        <v>0</v>
      </c>
      <c r="CU334">
        <f t="shared" si="274"/>
        <v>0</v>
      </c>
      <c r="CV334">
        <f t="shared" si="275"/>
        <v>0</v>
      </c>
      <c r="CW334">
        <f t="shared" si="276"/>
        <v>0</v>
      </c>
      <c r="CX334">
        <f t="shared" si="277"/>
        <v>0</v>
      </c>
      <c r="CY334">
        <f>0</f>
        <v>0</v>
      </c>
      <c r="CZ334">
        <f>0</f>
        <v>0</v>
      </c>
      <c r="DC334" t="s">
        <v>3</v>
      </c>
      <c r="DD334" t="s">
        <v>3</v>
      </c>
      <c r="DE334" t="s">
        <v>3</v>
      </c>
      <c r="DF334" t="s">
        <v>3</v>
      </c>
      <c r="DG334" t="s">
        <v>3</v>
      </c>
      <c r="DH334" t="s">
        <v>3</v>
      </c>
      <c r="DI334" t="s">
        <v>3</v>
      </c>
      <c r="DJ334" t="s">
        <v>3</v>
      </c>
      <c r="DK334" t="s">
        <v>3</v>
      </c>
      <c r="DL334" t="s">
        <v>3</v>
      </c>
      <c r="DM334" t="s">
        <v>3</v>
      </c>
      <c r="DN334">
        <v>0</v>
      </c>
      <c r="DO334">
        <v>0</v>
      </c>
      <c r="DP334">
        <v>1</v>
      </c>
      <c r="DQ334">
        <v>1</v>
      </c>
      <c r="DU334">
        <v>1010</v>
      </c>
      <c r="DV334" t="s">
        <v>475</v>
      </c>
      <c r="DW334" t="s">
        <v>475</v>
      </c>
      <c r="DX334">
        <v>10</v>
      </c>
      <c r="DZ334" t="s">
        <v>3</v>
      </c>
      <c r="EA334" t="s">
        <v>3</v>
      </c>
      <c r="EB334" t="s">
        <v>3</v>
      </c>
      <c r="EC334" t="s">
        <v>3</v>
      </c>
      <c r="EE334">
        <v>92109332</v>
      </c>
      <c r="EF334">
        <v>8</v>
      </c>
      <c r="EG334" t="s">
        <v>154</v>
      </c>
      <c r="EH334">
        <v>0</v>
      </c>
      <c r="EI334" t="s">
        <v>3</v>
      </c>
      <c r="EJ334">
        <v>1</v>
      </c>
      <c r="EK334">
        <v>500001</v>
      </c>
      <c r="EL334" t="s">
        <v>155</v>
      </c>
      <c r="EM334" t="s">
        <v>156</v>
      </c>
      <c r="EO334" t="s">
        <v>3</v>
      </c>
      <c r="EQ334">
        <v>0</v>
      </c>
      <c r="ER334">
        <v>4.16</v>
      </c>
      <c r="ES334">
        <v>4.16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FQ334">
        <v>0</v>
      </c>
      <c r="FR334">
        <f t="shared" si="278"/>
        <v>0</v>
      </c>
      <c r="FS334">
        <v>0</v>
      </c>
      <c r="FX334">
        <v>0</v>
      </c>
      <c r="FY334">
        <v>0</v>
      </c>
      <c r="GA334" t="s">
        <v>3</v>
      </c>
      <c r="GD334">
        <v>1</v>
      </c>
      <c r="GF334">
        <v>2049970744</v>
      </c>
      <c r="GG334">
        <v>2</v>
      </c>
      <c r="GH334">
        <v>1</v>
      </c>
      <c r="GI334">
        <v>2</v>
      </c>
      <c r="GJ334">
        <v>0</v>
      </c>
      <c r="GK334">
        <v>0</v>
      </c>
      <c r="GL334">
        <f t="shared" si="279"/>
        <v>0</v>
      </c>
      <c r="GM334">
        <f t="shared" si="280"/>
        <v>534.98</v>
      </c>
      <c r="GN334">
        <f t="shared" si="281"/>
        <v>534.98</v>
      </c>
      <c r="GO334">
        <f t="shared" si="282"/>
        <v>0</v>
      </c>
      <c r="GP334">
        <f t="shared" si="283"/>
        <v>0</v>
      </c>
      <c r="GR334">
        <v>0</v>
      </c>
      <c r="GS334">
        <v>3</v>
      </c>
      <c r="GT334">
        <v>0</v>
      </c>
      <c r="GU334" t="s">
        <v>3</v>
      </c>
      <c r="GV334">
        <f t="shared" si="284"/>
        <v>0</v>
      </c>
      <c r="GW334">
        <v>1</v>
      </c>
      <c r="GX334">
        <f t="shared" si="285"/>
        <v>0</v>
      </c>
      <c r="HA334">
        <v>0</v>
      </c>
      <c r="HB334">
        <v>0</v>
      </c>
      <c r="HC334">
        <f t="shared" si="286"/>
        <v>0</v>
      </c>
      <c r="HE334" t="s">
        <v>3</v>
      </c>
      <c r="HF334" t="s">
        <v>3</v>
      </c>
      <c r="HM334" t="s">
        <v>3</v>
      </c>
      <c r="HN334" t="s">
        <v>3</v>
      </c>
      <c r="HO334" t="s">
        <v>3</v>
      </c>
      <c r="HP334" t="s">
        <v>3</v>
      </c>
      <c r="HQ334" t="s">
        <v>3</v>
      </c>
      <c r="IK334">
        <v>0</v>
      </c>
    </row>
    <row r="335" spans="1:245" x14ac:dyDescent="0.2">
      <c r="A335">
        <v>17</v>
      </c>
      <c r="B335">
        <v>1</v>
      </c>
      <c r="E335" t="s">
        <v>477</v>
      </c>
      <c r="F335" t="s">
        <v>478</v>
      </c>
      <c r="G335" t="s">
        <v>479</v>
      </c>
      <c r="H335" t="s">
        <v>170</v>
      </c>
      <c r="I335">
        <v>0.11328000000000001</v>
      </c>
      <c r="J335">
        <v>0</v>
      </c>
      <c r="K335">
        <v>0.11328000000000001</v>
      </c>
      <c r="O335">
        <f t="shared" si="249"/>
        <v>15780.75</v>
      </c>
      <c r="P335">
        <f t="shared" si="250"/>
        <v>15780.75</v>
      </c>
      <c r="Q335">
        <f t="shared" si="251"/>
        <v>0</v>
      </c>
      <c r="R335">
        <f t="shared" si="252"/>
        <v>0</v>
      </c>
      <c r="S335">
        <f t="shared" si="253"/>
        <v>0</v>
      </c>
      <c r="T335">
        <f t="shared" si="254"/>
        <v>0</v>
      </c>
      <c r="U335">
        <f t="shared" si="255"/>
        <v>0</v>
      </c>
      <c r="V335">
        <f t="shared" si="256"/>
        <v>0</v>
      </c>
      <c r="W335">
        <f t="shared" si="257"/>
        <v>0</v>
      </c>
      <c r="X335">
        <f t="shared" si="258"/>
        <v>0</v>
      </c>
      <c r="Y335">
        <f t="shared" si="259"/>
        <v>0</v>
      </c>
      <c r="AA335">
        <v>94798619</v>
      </c>
      <c r="AB335">
        <f t="shared" si="260"/>
        <v>11775.78</v>
      </c>
      <c r="AC335">
        <f t="shared" si="261"/>
        <v>11775.78</v>
      </c>
      <c r="AD335">
        <f t="shared" si="262"/>
        <v>0</v>
      </c>
      <c r="AE335">
        <f t="shared" si="263"/>
        <v>0</v>
      </c>
      <c r="AF335">
        <f t="shared" si="264"/>
        <v>0</v>
      </c>
      <c r="AG335">
        <f t="shared" si="265"/>
        <v>0</v>
      </c>
      <c r="AH335">
        <f t="shared" si="266"/>
        <v>0</v>
      </c>
      <c r="AI335">
        <f t="shared" si="267"/>
        <v>0</v>
      </c>
      <c r="AJ335">
        <f t="shared" si="268"/>
        <v>0</v>
      </c>
      <c r="AK335">
        <v>11775.78</v>
      </c>
      <c r="AL335">
        <v>11775.78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1</v>
      </c>
      <c r="AW335">
        <v>1</v>
      </c>
      <c r="AZ335">
        <v>1</v>
      </c>
      <c r="BA335">
        <v>1</v>
      </c>
      <c r="BB335">
        <v>1</v>
      </c>
      <c r="BC335">
        <v>11.83</v>
      </c>
      <c r="BD335" t="s">
        <v>3</v>
      </c>
      <c r="BE335" t="s">
        <v>3</v>
      </c>
      <c r="BF335" t="s">
        <v>3</v>
      </c>
      <c r="BG335" t="s">
        <v>3</v>
      </c>
      <c r="BH335">
        <v>3</v>
      </c>
      <c r="BI335">
        <v>1</v>
      </c>
      <c r="BJ335" t="s">
        <v>480</v>
      </c>
      <c r="BM335">
        <v>500001</v>
      </c>
      <c r="BN335">
        <v>0</v>
      </c>
      <c r="BO335" t="s">
        <v>478</v>
      </c>
      <c r="BP335">
        <v>1</v>
      </c>
      <c r="BQ335">
        <v>8</v>
      </c>
      <c r="BR335">
        <v>0</v>
      </c>
      <c r="BS335">
        <v>1</v>
      </c>
      <c r="BT335">
        <v>1</v>
      </c>
      <c r="BU335">
        <v>1</v>
      </c>
      <c r="BV335">
        <v>1</v>
      </c>
      <c r="BW335">
        <v>1</v>
      </c>
      <c r="BX335">
        <v>1</v>
      </c>
      <c r="BY335" t="s">
        <v>3</v>
      </c>
      <c r="BZ335">
        <v>0</v>
      </c>
      <c r="CA335">
        <v>0</v>
      </c>
      <c r="CB335" t="s">
        <v>3</v>
      </c>
      <c r="CE335">
        <v>0</v>
      </c>
      <c r="CF335">
        <v>0</v>
      </c>
      <c r="CG335">
        <v>0</v>
      </c>
      <c r="CM335">
        <v>0</v>
      </c>
      <c r="CN335" t="s">
        <v>3</v>
      </c>
      <c r="CO335">
        <v>0</v>
      </c>
      <c r="CP335">
        <f t="shared" si="269"/>
        <v>15780.75</v>
      </c>
      <c r="CQ335">
        <f t="shared" si="270"/>
        <v>139307.4774</v>
      </c>
      <c r="CR335">
        <f t="shared" si="271"/>
        <v>0</v>
      </c>
      <c r="CS335">
        <f t="shared" si="272"/>
        <v>0</v>
      </c>
      <c r="CT335">
        <f t="shared" si="273"/>
        <v>0</v>
      </c>
      <c r="CU335">
        <f t="shared" si="274"/>
        <v>0</v>
      </c>
      <c r="CV335">
        <f t="shared" si="275"/>
        <v>0</v>
      </c>
      <c r="CW335">
        <f t="shared" si="276"/>
        <v>0</v>
      </c>
      <c r="CX335">
        <f t="shared" si="277"/>
        <v>0</v>
      </c>
      <c r="CY335">
        <f>0</f>
        <v>0</v>
      </c>
      <c r="CZ335">
        <f>0</f>
        <v>0</v>
      </c>
      <c r="DC335" t="s">
        <v>3</v>
      </c>
      <c r="DD335" t="s">
        <v>3</v>
      </c>
      <c r="DE335" t="s">
        <v>3</v>
      </c>
      <c r="DF335" t="s">
        <v>3</v>
      </c>
      <c r="DG335" t="s">
        <v>3</v>
      </c>
      <c r="DH335" t="s">
        <v>3</v>
      </c>
      <c r="DI335" t="s">
        <v>3</v>
      </c>
      <c r="DJ335" t="s">
        <v>3</v>
      </c>
      <c r="DK335" t="s">
        <v>3</v>
      </c>
      <c r="DL335" t="s">
        <v>3</v>
      </c>
      <c r="DM335" t="s">
        <v>3</v>
      </c>
      <c r="DN335">
        <v>0</v>
      </c>
      <c r="DO335">
        <v>0</v>
      </c>
      <c r="DP335">
        <v>1</v>
      </c>
      <c r="DQ335">
        <v>1</v>
      </c>
      <c r="DU335">
        <v>1009</v>
      </c>
      <c r="DV335" t="s">
        <v>170</v>
      </c>
      <c r="DW335" t="s">
        <v>170</v>
      </c>
      <c r="DX335">
        <v>1000</v>
      </c>
      <c r="DZ335" t="s">
        <v>3</v>
      </c>
      <c r="EA335" t="s">
        <v>3</v>
      </c>
      <c r="EB335" t="s">
        <v>3</v>
      </c>
      <c r="EC335" t="s">
        <v>3</v>
      </c>
      <c r="EE335">
        <v>92109332</v>
      </c>
      <c r="EF335">
        <v>8</v>
      </c>
      <c r="EG335" t="s">
        <v>154</v>
      </c>
      <c r="EH335">
        <v>0</v>
      </c>
      <c r="EI335" t="s">
        <v>3</v>
      </c>
      <c r="EJ335">
        <v>1</v>
      </c>
      <c r="EK335">
        <v>500001</v>
      </c>
      <c r="EL335" t="s">
        <v>155</v>
      </c>
      <c r="EM335" t="s">
        <v>156</v>
      </c>
      <c r="EO335" t="s">
        <v>3</v>
      </c>
      <c r="EQ335">
        <v>0</v>
      </c>
      <c r="ER335">
        <v>11775.78</v>
      </c>
      <c r="ES335">
        <v>11775.78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FQ335">
        <v>0</v>
      </c>
      <c r="FR335">
        <f t="shared" si="278"/>
        <v>0</v>
      </c>
      <c r="FS335">
        <v>0</v>
      </c>
      <c r="FX335">
        <v>0</v>
      </c>
      <c r="FY335">
        <v>0</v>
      </c>
      <c r="GA335" t="s">
        <v>3</v>
      </c>
      <c r="GD335">
        <v>1</v>
      </c>
      <c r="GF335">
        <v>1900392113</v>
      </c>
      <c r="GG335">
        <v>2</v>
      </c>
      <c r="GH335">
        <v>1</v>
      </c>
      <c r="GI335">
        <v>2</v>
      </c>
      <c r="GJ335">
        <v>0</v>
      </c>
      <c r="GK335">
        <v>0</v>
      </c>
      <c r="GL335">
        <f t="shared" si="279"/>
        <v>0</v>
      </c>
      <c r="GM335">
        <f t="shared" si="280"/>
        <v>15780.75</v>
      </c>
      <c r="GN335">
        <f t="shared" si="281"/>
        <v>15780.75</v>
      </c>
      <c r="GO335">
        <f t="shared" si="282"/>
        <v>0</v>
      </c>
      <c r="GP335">
        <f t="shared" si="283"/>
        <v>0</v>
      </c>
      <c r="GR335">
        <v>0</v>
      </c>
      <c r="GS335">
        <v>3</v>
      </c>
      <c r="GT335">
        <v>0</v>
      </c>
      <c r="GU335" t="s">
        <v>3</v>
      </c>
      <c r="GV335">
        <f t="shared" si="284"/>
        <v>0</v>
      </c>
      <c r="GW335">
        <v>1</v>
      </c>
      <c r="GX335">
        <f t="shared" si="285"/>
        <v>0</v>
      </c>
      <c r="HA335">
        <v>0</v>
      </c>
      <c r="HB335">
        <v>0</v>
      </c>
      <c r="HC335">
        <f t="shared" si="286"/>
        <v>0</v>
      </c>
      <c r="HE335" t="s">
        <v>3</v>
      </c>
      <c r="HF335" t="s">
        <v>3</v>
      </c>
      <c r="HM335" t="s">
        <v>3</v>
      </c>
      <c r="HN335" t="s">
        <v>3</v>
      </c>
      <c r="HO335" t="s">
        <v>3</v>
      </c>
      <c r="HP335" t="s">
        <v>3</v>
      </c>
      <c r="HQ335" t="s">
        <v>3</v>
      </c>
      <c r="IK335">
        <v>0</v>
      </c>
    </row>
    <row r="336" spans="1:245" x14ac:dyDescent="0.2">
      <c r="A336">
        <v>17</v>
      </c>
      <c r="B336">
        <v>1</v>
      </c>
      <c r="C336">
        <f>ROW(SmtRes!A342)</f>
        <v>342</v>
      </c>
      <c r="D336">
        <f>ROW(EtalonRes!A342)</f>
        <v>342</v>
      </c>
      <c r="E336" t="s">
        <v>481</v>
      </c>
      <c r="F336" t="s">
        <v>482</v>
      </c>
      <c r="G336" t="s">
        <v>483</v>
      </c>
      <c r="H336" t="s">
        <v>484</v>
      </c>
      <c r="I336">
        <f>ROUND(60/100,9)</f>
        <v>0.6</v>
      </c>
      <c r="J336">
        <v>0</v>
      </c>
      <c r="K336">
        <f>ROUND(60/100,9)</f>
        <v>0.6</v>
      </c>
      <c r="O336">
        <f t="shared" si="249"/>
        <v>2158.96</v>
      </c>
      <c r="P336">
        <f t="shared" si="250"/>
        <v>0</v>
      </c>
      <c r="Q336">
        <f t="shared" si="251"/>
        <v>23.5</v>
      </c>
      <c r="R336">
        <f t="shared" si="252"/>
        <v>0</v>
      </c>
      <c r="S336">
        <f t="shared" si="253"/>
        <v>2135.46</v>
      </c>
      <c r="T336">
        <f t="shared" si="254"/>
        <v>0</v>
      </c>
      <c r="U336">
        <f t="shared" si="255"/>
        <v>7.14</v>
      </c>
      <c r="V336">
        <f t="shared" si="256"/>
        <v>0</v>
      </c>
      <c r="W336">
        <f t="shared" si="257"/>
        <v>0</v>
      </c>
      <c r="X336">
        <f t="shared" si="258"/>
        <v>1985.98</v>
      </c>
      <c r="Y336">
        <f t="shared" si="259"/>
        <v>1323.99</v>
      </c>
      <c r="AA336">
        <v>94798619</v>
      </c>
      <c r="AB336">
        <f t="shared" si="260"/>
        <v>103.66</v>
      </c>
      <c r="AC336">
        <f t="shared" si="261"/>
        <v>0</v>
      </c>
      <c r="AD336">
        <f t="shared" si="262"/>
        <v>2.75</v>
      </c>
      <c r="AE336">
        <f t="shared" si="263"/>
        <v>0</v>
      </c>
      <c r="AF336">
        <f t="shared" si="264"/>
        <v>100.91</v>
      </c>
      <c r="AG336">
        <f t="shared" si="265"/>
        <v>0</v>
      </c>
      <c r="AH336">
        <f t="shared" si="266"/>
        <v>11.9</v>
      </c>
      <c r="AI336">
        <f t="shared" si="267"/>
        <v>0</v>
      </c>
      <c r="AJ336">
        <f t="shared" si="268"/>
        <v>0</v>
      </c>
      <c r="AK336">
        <v>103.66</v>
      </c>
      <c r="AL336">
        <v>0</v>
      </c>
      <c r="AM336">
        <v>2.75</v>
      </c>
      <c r="AN336">
        <v>0</v>
      </c>
      <c r="AO336">
        <v>100.91</v>
      </c>
      <c r="AP336">
        <v>0</v>
      </c>
      <c r="AQ336">
        <v>11.9</v>
      </c>
      <c r="AR336">
        <v>0</v>
      </c>
      <c r="AS336">
        <v>0</v>
      </c>
      <c r="AT336">
        <v>93</v>
      </c>
      <c r="AU336">
        <v>62</v>
      </c>
      <c r="AV336">
        <v>1</v>
      </c>
      <c r="AW336">
        <v>1</v>
      </c>
      <c r="AZ336">
        <v>1</v>
      </c>
      <c r="BA336">
        <v>35.270000000000003</v>
      </c>
      <c r="BB336">
        <v>14.24</v>
      </c>
      <c r="BC336">
        <v>1</v>
      </c>
      <c r="BD336" t="s">
        <v>3</v>
      </c>
      <c r="BE336" t="s">
        <v>3</v>
      </c>
      <c r="BF336" t="s">
        <v>3</v>
      </c>
      <c r="BG336" t="s">
        <v>3</v>
      </c>
      <c r="BH336">
        <v>0</v>
      </c>
      <c r="BI336">
        <v>1</v>
      </c>
      <c r="BJ336" t="s">
        <v>485</v>
      </c>
      <c r="BM336">
        <v>9001</v>
      </c>
      <c r="BN336">
        <v>0</v>
      </c>
      <c r="BO336" t="s">
        <v>482</v>
      </c>
      <c r="BP336">
        <v>1</v>
      </c>
      <c r="BQ336">
        <v>2</v>
      </c>
      <c r="BR336">
        <v>0</v>
      </c>
      <c r="BS336">
        <v>35.270000000000003</v>
      </c>
      <c r="BT336">
        <v>1</v>
      </c>
      <c r="BU336">
        <v>1</v>
      </c>
      <c r="BV336">
        <v>1</v>
      </c>
      <c r="BW336">
        <v>1</v>
      </c>
      <c r="BX336">
        <v>1</v>
      </c>
      <c r="BY336" t="s">
        <v>3</v>
      </c>
      <c r="BZ336">
        <v>93</v>
      </c>
      <c r="CA336">
        <v>62</v>
      </c>
      <c r="CB336" t="s">
        <v>3</v>
      </c>
      <c r="CE336">
        <v>0</v>
      </c>
      <c r="CF336">
        <v>0</v>
      </c>
      <c r="CG336">
        <v>0</v>
      </c>
      <c r="CM336">
        <v>0</v>
      </c>
      <c r="CN336" t="s">
        <v>3</v>
      </c>
      <c r="CO336">
        <v>0</v>
      </c>
      <c r="CP336">
        <f t="shared" si="269"/>
        <v>2158.96</v>
      </c>
      <c r="CQ336">
        <f t="shared" si="270"/>
        <v>0</v>
      </c>
      <c r="CR336">
        <f t="shared" si="271"/>
        <v>39.160000000000004</v>
      </c>
      <c r="CS336">
        <f t="shared" si="272"/>
        <v>0</v>
      </c>
      <c r="CT336">
        <f t="shared" si="273"/>
        <v>3559.0957000000003</v>
      </c>
      <c r="CU336">
        <f t="shared" si="274"/>
        <v>0</v>
      </c>
      <c r="CV336">
        <f t="shared" si="275"/>
        <v>11.9</v>
      </c>
      <c r="CW336">
        <f t="shared" si="276"/>
        <v>0</v>
      </c>
      <c r="CX336">
        <f t="shared" si="277"/>
        <v>0</v>
      </c>
      <c r="CY336">
        <f>(((S336+R336)*AT336)/100)</f>
        <v>1985.9777999999999</v>
      </c>
      <c r="CZ336">
        <f>(((S336+R336)*AU336)/100)</f>
        <v>1323.9851999999998</v>
      </c>
      <c r="DC336" t="s">
        <v>3</v>
      </c>
      <c r="DD336" t="s">
        <v>3</v>
      </c>
      <c r="DE336" t="s">
        <v>3</v>
      </c>
      <c r="DF336" t="s">
        <v>3</v>
      </c>
      <c r="DG336" t="s">
        <v>3</v>
      </c>
      <c r="DH336" t="s">
        <v>3</v>
      </c>
      <c r="DI336" t="s">
        <v>3</v>
      </c>
      <c r="DJ336" t="s">
        <v>3</v>
      </c>
      <c r="DK336" t="s">
        <v>3</v>
      </c>
      <c r="DL336" t="s">
        <v>3</v>
      </c>
      <c r="DM336" t="s">
        <v>3</v>
      </c>
      <c r="DN336">
        <v>0</v>
      </c>
      <c r="DO336">
        <v>0</v>
      </c>
      <c r="DP336">
        <v>1</v>
      </c>
      <c r="DQ336">
        <v>1</v>
      </c>
      <c r="DU336">
        <v>1013</v>
      </c>
      <c r="DV336" t="s">
        <v>484</v>
      </c>
      <c r="DW336" t="s">
        <v>484</v>
      </c>
      <c r="DX336">
        <v>1</v>
      </c>
      <c r="DZ336" t="s">
        <v>3</v>
      </c>
      <c r="EA336" t="s">
        <v>3</v>
      </c>
      <c r="EB336" t="s">
        <v>3</v>
      </c>
      <c r="EC336" t="s">
        <v>3</v>
      </c>
      <c r="EE336">
        <v>92109398</v>
      </c>
      <c r="EF336">
        <v>2</v>
      </c>
      <c r="EG336" t="s">
        <v>21</v>
      </c>
      <c r="EH336">
        <v>9</v>
      </c>
      <c r="EI336" t="s">
        <v>40</v>
      </c>
      <c r="EJ336">
        <v>1</v>
      </c>
      <c r="EK336">
        <v>9001</v>
      </c>
      <c r="EL336" t="s">
        <v>40</v>
      </c>
      <c r="EM336" t="s">
        <v>41</v>
      </c>
      <c r="EO336" t="s">
        <v>3</v>
      </c>
      <c r="EQ336">
        <v>0</v>
      </c>
      <c r="ER336">
        <v>103.66</v>
      </c>
      <c r="ES336">
        <v>0</v>
      </c>
      <c r="ET336">
        <v>2.75</v>
      </c>
      <c r="EU336">
        <v>0</v>
      </c>
      <c r="EV336">
        <v>100.91</v>
      </c>
      <c r="EW336">
        <v>11.9</v>
      </c>
      <c r="EX336">
        <v>0</v>
      </c>
      <c r="EY336">
        <v>0</v>
      </c>
      <c r="FQ336">
        <v>0</v>
      </c>
      <c r="FR336">
        <f t="shared" si="278"/>
        <v>0</v>
      </c>
      <c r="FS336">
        <v>0</v>
      </c>
      <c r="FX336">
        <v>93</v>
      </c>
      <c r="FY336">
        <v>62</v>
      </c>
      <c r="GA336" t="s">
        <v>3</v>
      </c>
      <c r="GD336">
        <v>1</v>
      </c>
      <c r="GF336">
        <v>458394643</v>
      </c>
      <c r="GG336">
        <v>2</v>
      </c>
      <c r="GH336">
        <v>1</v>
      </c>
      <c r="GI336">
        <v>2</v>
      </c>
      <c r="GJ336">
        <v>0</v>
      </c>
      <c r="GK336">
        <v>0</v>
      </c>
      <c r="GL336">
        <f t="shared" si="279"/>
        <v>0</v>
      </c>
      <c r="GM336">
        <f t="shared" si="280"/>
        <v>5468.93</v>
      </c>
      <c r="GN336">
        <f t="shared" si="281"/>
        <v>5468.93</v>
      </c>
      <c r="GO336">
        <f t="shared" si="282"/>
        <v>0</v>
      </c>
      <c r="GP336">
        <f t="shared" si="283"/>
        <v>0</v>
      </c>
      <c r="GR336">
        <v>0</v>
      </c>
      <c r="GS336">
        <v>3</v>
      </c>
      <c r="GT336">
        <v>0</v>
      </c>
      <c r="GU336" t="s">
        <v>3</v>
      </c>
      <c r="GV336">
        <f t="shared" si="284"/>
        <v>0</v>
      </c>
      <c r="GW336">
        <v>1</v>
      </c>
      <c r="GX336">
        <f t="shared" si="285"/>
        <v>0</v>
      </c>
      <c r="HA336">
        <v>0</v>
      </c>
      <c r="HB336">
        <v>0</v>
      </c>
      <c r="HC336">
        <f t="shared" si="286"/>
        <v>0</v>
      </c>
      <c r="HE336" t="s">
        <v>3</v>
      </c>
      <c r="HF336" t="s">
        <v>3</v>
      </c>
      <c r="HM336" t="s">
        <v>3</v>
      </c>
      <c r="HN336" t="s">
        <v>42</v>
      </c>
      <c r="HO336" t="s">
        <v>43</v>
      </c>
      <c r="HP336" t="s">
        <v>40</v>
      </c>
      <c r="HQ336" t="s">
        <v>40</v>
      </c>
      <c r="IK336">
        <v>0</v>
      </c>
    </row>
    <row r="337" spans="1:245" x14ac:dyDescent="0.2">
      <c r="A337">
        <v>18</v>
      </c>
      <c r="B337">
        <v>1</v>
      </c>
      <c r="C337">
        <v>342</v>
      </c>
      <c r="E337" t="s">
        <v>486</v>
      </c>
      <c r="F337" t="s">
        <v>252</v>
      </c>
      <c r="G337" t="s">
        <v>253</v>
      </c>
      <c r="H337" t="s">
        <v>170</v>
      </c>
      <c r="I337">
        <f>I336*J337</f>
        <v>3.0000000000000001E-3</v>
      </c>
      <c r="J337">
        <v>5.0000000000000001E-3</v>
      </c>
      <c r="K337">
        <v>5.0000000000000001E-3</v>
      </c>
      <c r="O337">
        <f t="shared" si="249"/>
        <v>626.47</v>
      </c>
      <c r="P337">
        <f t="shared" si="250"/>
        <v>626.47</v>
      </c>
      <c r="Q337">
        <f t="shared" si="251"/>
        <v>0</v>
      </c>
      <c r="R337">
        <f t="shared" si="252"/>
        <v>0</v>
      </c>
      <c r="S337">
        <f t="shared" si="253"/>
        <v>0</v>
      </c>
      <c r="T337">
        <f t="shared" si="254"/>
        <v>0</v>
      </c>
      <c r="U337">
        <f t="shared" si="255"/>
        <v>0</v>
      </c>
      <c r="V337">
        <f t="shared" si="256"/>
        <v>0</v>
      </c>
      <c r="W337">
        <f t="shared" si="257"/>
        <v>0</v>
      </c>
      <c r="X337">
        <f t="shared" si="258"/>
        <v>0</v>
      </c>
      <c r="Y337">
        <f t="shared" si="259"/>
        <v>0</v>
      </c>
      <c r="AA337">
        <v>94798619</v>
      </c>
      <c r="AB337">
        <f t="shared" si="260"/>
        <v>9040.01</v>
      </c>
      <c r="AC337">
        <f t="shared" si="261"/>
        <v>9040.01</v>
      </c>
      <c r="AD337">
        <f t="shared" si="262"/>
        <v>0</v>
      </c>
      <c r="AE337">
        <f t="shared" si="263"/>
        <v>0</v>
      </c>
      <c r="AF337">
        <f t="shared" si="264"/>
        <v>0</v>
      </c>
      <c r="AG337">
        <f t="shared" si="265"/>
        <v>0</v>
      </c>
      <c r="AH337">
        <f t="shared" si="266"/>
        <v>0</v>
      </c>
      <c r="AI337">
        <f t="shared" si="267"/>
        <v>0</v>
      </c>
      <c r="AJ337">
        <f t="shared" si="268"/>
        <v>0</v>
      </c>
      <c r="AK337">
        <v>9040.01</v>
      </c>
      <c r="AL337">
        <v>9040.01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93</v>
      </c>
      <c r="AU337">
        <v>62</v>
      </c>
      <c r="AV337">
        <v>1</v>
      </c>
      <c r="AW337">
        <v>1</v>
      </c>
      <c r="AZ337">
        <v>1</v>
      </c>
      <c r="BA337">
        <v>1</v>
      </c>
      <c r="BB337">
        <v>1</v>
      </c>
      <c r="BC337">
        <v>23.1</v>
      </c>
      <c r="BD337" t="s">
        <v>3</v>
      </c>
      <c r="BE337" t="s">
        <v>3</v>
      </c>
      <c r="BF337" t="s">
        <v>3</v>
      </c>
      <c r="BG337" t="s">
        <v>3</v>
      </c>
      <c r="BH337">
        <v>3</v>
      </c>
      <c r="BI337">
        <v>1</v>
      </c>
      <c r="BJ337" t="s">
        <v>254</v>
      </c>
      <c r="BM337">
        <v>9001</v>
      </c>
      <c r="BN337">
        <v>0</v>
      </c>
      <c r="BO337" t="s">
        <v>252</v>
      </c>
      <c r="BP337">
        <v>1</v>
      </c>
      <c r="BQ337">
        <v>2</v>
      </c>
      <c r="BR337">
        <v>0</v>
      </c>
      <c r="BS337">
        <v>1</v>
      </c>
      <c r="BT337">
        <v>1</v>
      </c>
      <c r="BU337">
        <v>1</v>
      </c>
      <c r="BV337">
        <v>1</v>
      </c>
      <c r="BW337">
        <v>1</v>
      </c>
      <c r="BX337">
        <v>1</v>
      </c>
      <c r="BY337" t="s">
        <v>3</v>
      </c>
      <c r="BZ337">
        <v>93</v>
      </c>
      <c r="CA337">
        <v>62</v>
      </c>
      <c r="CB337" t="s">
        <v>3</v>
      </c>
      <c r="CE337">
        <v>0</v>
      </c>
      <c r="CF337">
        <v>0</v>
      </c>
      <c r="CG337">
        <v>0</v>
      </c>
      <c r="CM337">
        <v>0</v>
      </c>
      <c r="CN337" t="s">
        <v>3</v>
      </c>
      <c r="CO337">
        <v>0</v>
      </c>
      <c r="CP337">
        <f t="shared" si="269"/>
        <v>626.47</v>
      </c>
      <c r="CQ337">
        <f t="shared" si="270"/>
        <v>208824.23100000003</v>
      </c>
      <c r="CR337">
        <f t="shared" si="271"/>
        <v>0</v>
      </c>
      <c r="CS337">
        <f t="shared" si="272"/>
        <v>0</v>
      </c>
      <c r="CT337">
        <f t="shared" si="273"/>
        <v>0</v>
      </c>
      <c r="CU337">
        <f t="shared" si="274"/>
        <v>0</v>
      </c>
      <c r="CV337">
        <f t="shared" si="275"/>
        <v>0</v>
      </c>
      <c r="CW337">
        <f t="shared" si="276"/>
        <v>0</v>
      </c>
      <c r="CX337">
        <f t="shared" si="277"/>
        <v>0</v>
      </c>
      <c r="CY337">
        <f>(((S337+R337)*AT337)/100)</f>
        <v>0</v>
      </c>
      <c r="CZ337">
        <f>(((S337+R337)*AU337)/100)</f>
        <v>0</v>
      </c>
      <c r="DC337" t="s">
        <v>3</v>
      </c>
      <c r="DD337" t="s">
        <v>3</v>
      </c>
      <c r="DE337" t="s">
        <v>3</v>
      </c>
      <c r="DF337" t="s">
        <v>3</v>
      </c>
      <c r="DG337" t="s">
        <v>3</v>
      </c>
      <c r="DH337" t="s">
        <v>3</v>
      </c>
      <c r="DI337" t="s">
        <v>3</v>
      </c>
      <c r="DJ337" t="s">
        <v>3</v>
      </c>
      <c r="DK337" t="s">
        <v>3</v>
      </c>
      <c r="DL337" t="s">
        <v>3</v>
      </c>
      <c r="DM337" t="s">
        <v>3</v>
      </c>
      <c r="DN337">
        <v>0</v>
      </c>
      <c r="DO337">
        <v>0</v>
      </c>
      <c r="DP337">
        <v>1</v>
      </c>
      <c r="DQ337">
        <v>1</v>
      </c>
      <c r="DU337">
        <v>1009</v>
      </c>
      <c r="DV337" t="s">
        <v>170</v>
      </c>
      <c r="DW337" t="s">
        <v>170</v>
      </c>
      <c r="DX337">
        <v>1000</v>
      </c>
      <c r="DZ337" t="s">
        <v>3</v>
      </c>
      <c r="EA337" t="s">
        <v>3</v>
      </c>
      <c r="EB337" t="s">
        <v>3</v>
      </c>
      <c r="EC337" t="s">
        <v>3</v>
      </c>
      <c r="EE337">
        <v>92109398</v>
      </c>
      <c r="EF337">
        <v>2</v>
      </c>
      <c r="EG337" t="s">
        <v>21</v>
      </c>
      <c r="EH337">
        <v>9</v>
      </c>
      <c r="EI337" t="s">
        <v>40</v>
      </c>
      <c r="EJ337">
        <v>1</v>
      </c>
      <c r="EK337">
        <v>9001</v>
      </c>
      <c r="EL337" t="s">
        <v>40</v>
      </c>
      <c r="EM337" t="s">
        <v>41</v>
      </c>
      <c r="EO337" t="s">
        <v>3</v>
      </c>
      <c r="EQ337">
        <v>0</v>
      </c>
      <c r="ER337">
        <v>9040.01</v>
      </c>
      <c r="ES337">
        <v>9040.01</v>
      </c>
      <c r="ET337">
        <v>0</v>
      </c>
      <c r="EU337">
        <v>0</v>
      </c>
      <c r="EV337">
        <v>0</v>
      </c>
      <c r="EW337">
        <v>0</v>
      </c>
      <c r="EX337">
        <v>0</v>
      </c>
      <c r="FQ337">
        <v>0</v>
      </c>
      <c r="FR337">
        <f t="shared" si="278"/>
        <v>0</v>
      </c>
      <c r="FS337">
        <v>0</v>
      </c>
      <c r="FX337">
        <v>93</v>
      </c>
      <c r="FY337">
        <v>62</v>
      </c>
      <c r="GA337" t="s">
        <v>3</v>
      </c>
      <c r="GD337">
        <v>1</v>
      </c>
      <c r="GF337">
        <v>-384985709</v>
      </c>
      <c r="GG337">
        <v>2</v>
      </c>
      <c r="GH337">
        <v>1</v>
      </c>
      <c r="GI337">
        <v>2</v>
      </c>
      <c r="GJ337">
        <v>0</v>
      </c>
      <c r="GK337">
        <v>0</v>
      </c>
      <c r="GL337">
        <f t="shared" si="279"/>
        <v>0</v>
      </c>
      <c r="GM337">
        <f t="shared" si="280"/>
        <v>626.47</v>
      </c>
      <c r="GN337">
        <f t="shared" si="281"/>
        <v>626.47</v>
      </c>
      <c r="GO337">
        <f t="shared" si="282"/>
        <v>0</v>
      </c>
      <c r="GP337">
        <f t="shared" si="283"/>
        <v>0</v>
      </c>
      <c r="GR337">
        <v>0</v>
      </c>
      <c r="GS337">
        <v>3</v>
      </c>
      <c r="GT337">
        <v>0</v>
      </c>
      <c r="GU337" t="s">
        <v>3</v>
      </c>
      <c r="GV337">
        <f t="shared" si="284"/>
        <v>0</v>
      </c>
      <c r="GW337">
        <v>1</v>
      </c>
      <c r="GX337">
        <f t="shared" si="285"/>
        <v>0</v>
      </c>
      <c r="HA337">
        <v>0</v>
      </c>
      <c r="HB337">
        <v>0</v>
      </c>
      <c r="HC337">
        <f t="shared" si="286"/>
        <v>0</v>
      </c>
      <c r="HE337" t="s">
        <v>3</v>
      </c>
      <c r="HF337" t="s">
        <v>3</v>
      </c>
      <c r="HM337" t="s">
        <v>3</v>
      </c>
      <c r="HN337" t="s">
        <v>42</v>
      </c>
      <c r="HO337" t="s">
        <v>43</v>
      </c>
      <c r="HP337" t="s">
        <v>40</v>
      </c>
      <c r="HQ337" t="s">
        <v>40</v>
      </c>
      <c r="IK337">
        <v>0</v>
      </c>
    </row>
    <row r="338" spans="1:245" x14ac:dyDescent="0.2">
      <c r="A338">
        <v>17</v>
      </c>
      <c r="B338">
        <v>1</v>
      </c>
      <c r="E338" t="s">
        <v>487</v>
      </c>
      <c r="F338" t="s">
        <v>488</v>
      </c>
      <c r="G338" t="s">
        <v>489</v>
      </c>
      <c r="H338" t="s">
        <v>47</v>
      </c>
      <c r="I338">
        <v>5</v>
      </c>
      <c r="J338">
        <v>0</v>
      </c>
      <c r="K338">
        <v>5</v>
      </c>
      <c r="O338">
        <f t="shared" si="249"/>
        <v>57385.65</v>
      </c>
      <c r="P338">
        <f t="shared" si="250"/>
        <v>57385.65</v>
      </c>
      <c r="Q338">
        <f t="shared" si="251"/>
        <v>0</v>
      </c>
      <c r="R338">
        <f t="shared" si="252"/>
        <v>0</v>
      </c>
      <c r="S338">
        <f t="shared" si="253"/>
        <v>0</v>
      </c>
      <c r="T338">
        <f t="shared" si="254"/>
        <v>0</v>
      </c>
      <c r="U338">
        <f t="shared" si="255"/>
        <v>0</v>
      </c>
      <c r="V338">
        <f t="shared" si="256"/>
        <v>0</v>
      </c>
      <c r="W338">
        <f t="shared" si="257"/>
        <v>0</v>
      </c>
      <c r="X338">
        <f t="shared" si="258"/>
        <v>0</v>
      </c>
      <c r="Y338">
        <f t="shared" si="259"/>
        <v>0</v>
      </c>
      <c r="AA338">
        <v>94798619</v>
      </c>
      <c r="AB338">
        <f t="shared" si="260"/>
        <v>1186.8800000000001</v>
      </c>
      <c r="AC338">
        <f t="shared" si="261"/>
        <v>1186.8800000000001</v>
      </c>
      <c r="AD338">
        <f t="shared" si="262"/>
        <v>0</v>
      </c>
      <c r="AE338">
        <f t="shared" si="263"/>
        <v>0</v>
      </c>
      <c r="AF338">
        <f t="shared" si="264"/>
        <v>0</v>
      </c>
      <c r="AG338">
        <f t="shared" si="265"/>
        <v>0</v>
      </c>
      <c r="AH338">
        <f t="shared" si="266"/>
        <v>0</v>
      </c>
      <c r="AI338">
        <f t="shared" si="267"/>
        <v>0</v>
      </c>
      <c r="AJ338">
        <f t="shared" si="268"/>
        <v>0</v>
      </c>
      <c r="AK338">
        <v>1186.8800000000001</v>
      </c>
      <c r="AL338">
        <v>1186.8800000000001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1</v>
      </c>
      <c r="AW338">
        <v>1</v>
      </c>
      <c r="AZ338">
        <v>1</v>
      </c>
      <c r="BA338">
        <v>1</v>
      </c>
      <c r="BB338">
        <v>1</v>
      </c>
      <c r="BC338">
        <v>9.67</v>
      </c>
      <c r="BD338" t="s">
        <v>3</v>
      </c>
      <c r="BE338" t="s">
        <v>3</v>
      </c>
      <c r="BF338" t="s">
        <v>3</v>
      </c>
      <c r="BG338" t="s">
        <v>3</v>
      </c>
      <c r="BH338">
        <v>3</v>
      </c>
      <c r="BI338">
        <v>1</v>
      </c>
      <c r="BJ338" t="s">
        <v>490</v>
      </c>
      <c r="BM338">
        <v>500001</v>
      </c>
      <c r="BN338">
        <v>0</v>
      </c>
      <c r="BO338" t="s">
        <v>488</v>
      </c>
      <c r="BP338">
        <v>1</v>
      </c>
      <c r="BQ338">
        <v>8</v>
      </c>
      <c r="BR338">
        <v>0</v>
      </c>
      <c r="BS338">
        <v>1</v>
      </c>
      <c r="BT338">
        <v>1</v>
      </c>
      <c r="BU338">
        <v>1</v>
      </c>
      <c r="BV338">
        <v>1</v>
      </c>
      <c r="BW338">
        <v>1</v>
      </c>
      <c r="BX338">
        <v>1</v>
      </c>
      <c r="BY338" t="s">
        <v>3</v>
      </c>
      <c r="BZ338">
        <v>0</v>
      </c>
      <c r="CA338">
        <v>0</v>
      </c>
      <c r="CB338" t="s">
        <v>3</v>
      </c>
      <c r="CE338">
        <v>0</v>
      </c>
      <c r="CF338">
        <v>0</v>
      </c>
      <c r="CG338">
        <v>0</v>
      </c>
      <c r="CM338">
        <v>0</v>
      </c>
      <c r="CN338" t="s">
        <v>3</v>
      </c>
      <c r="CO338">
        <v>0</v>
      </c>
      <c r="CP338">
        <f t="shared" si="269"/>
        <v>57385.65</v>
      </c>
      <c r="CQ338">
        <f t="shared" si="270"/>
        <v>11477.1296</v>
      </c>
      <c r="CR338">
        <f t="shared" si="271"/>
        <v>0</v>
      </c>
      <c r="CS338">
        <f t="shared" si="272"/>
        <v>0</v>
      </c>
      <c r="CT338">
        <f t="shared" si="273"/>
        <v>0</v>
      </c>
      <c r="CU338">
        <f t="shared" si="274"/>
        <v>0</v>
      </c>
      <c r="CV338">
        <f t="shared" si="275"/>
        <v>0</v>
      </c>
      <c r="CW338">
        <f t="shared" si="276"/>
        <v>0</v>
      </c>
      <c r="CX338">
        <f t="shared" si="277"/>
        <v>0</v>
      </c>
      <c r="CY338">
        <f>0</f>
        <v>0</v>
      </c>
      <c r="CZ338">
        <f>0</f>
        <v>0</v>
      </c>
      <c r="DC338" t="s">
        <v>3</v>
      </c>
      <c r="DD338" t="s">
        <v>3</v>
      </c>
      <c r="DE338" t="s">
        <v>3</v>
      </c>
      <c r="DF338" t="s">
        <v>3</v>
      </c>
      <c r="DG338" t="s">
        <v>3</v>
      </c>
      <c r="DH338" t="s">
        <v>3</v>
      </c>
      <c r="DI338" t="s">
        <v>3</v>
      </c>
      <c r="DJ338" t="s">
        <v>3</v>
      </c>
      <c r="DK338" t="s">
        <v>3</v>
      </c>
      <c r="DL338" t="s">
        <v>3</v>
      </c>
      <c r="DM338" t="s">
        <v>3</v>
      </c>
      <c r="DN338">
        <v>0</v>
      </c>
      <c r="DO338">
        <v>0</v>
      </c>
      <c r="DP338">
        <v>1</v>
      </c>
      <c r="DQ338">
        <v>1</v>
      </c>
      <c r="DU338">
        <v>1010</v>
      </c>
      <c r="DV338" t="s">
        <v>47</v>
      </c>
      <c r="DW338" t="s">
        <v>47</v>
      </c>
      <c r="DX338">
        <v>1</v>
      </c>
      <c r="DZ338" t="s">
        <v>3</v>
      </c>
      <c r="EA338" t="s">
        <v>3</v>
      </c>
      <c r="EB338" t="s">
        <v>3</v>
      </c>
      <c r="EC338" t="s">
        <v>3</v>
      </c>
      <c r="EE338">
        <v>92109332</v>
      </c>
      <c r="EF338">
        <v>8</v>
      </c>
      <c r="EG338" t="s">
        <v>154</v>
      </c>
      <c r="EH338">
        <v>0</v>
      </c>
      <c r="EI338" t="s">
        <v>3</v>
      </c>
      <c r="EJ338">
        <v>1</v>
      </c>
      <c r="EK338">
        <v>500001</v>
      </c>
      <c r="EL338" t="s">
        <v>155</v>
      </c>
      <c r="EM338" t="s">
        <v>156</v>
      </c>
      <c r="EO338" t="s">
        <v>3</v>
      </c>
      <c r="EQ338">
        <v>0</v>
      </c>
      <c r="ER338">
        <v>1186.8800000000001</v>
      </c>
      <c r="ES338">
        <v>1186.8800000000001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FQ338">
        <v>0</v>
      </c>
      <c r="FR338">
        <f t="shared" si="278"/>
        <v>0</v>
      </c>
      <c r="FS338">
        <v>0</v>
      </c>
      <c r="FX338">
        <v>0</v>
      </c>
      <c r="FY338">
        <v>0</v>
      </c>
      <c r="GA338" t="s">
        <v>3</v>
      </c>
      <c r="GD338">
        <v>1</v>
      </c>
      <c r="GF338">
        <v>-890610490</v>
      </c>
      <c r="GG338">
        <v>2</v>
      </c>
      <c r="GH338">
        <v>1</v>
      </c>
      <c r="GI338">
        <v>2</v>
      </c>
      <c r="GJ338">
        <v>0</v>
      </c>
      <c r="GK338">
        <v>0</v>
      </c>
      <c r="GL338">
        <f t="shared" si="279"/>
        <v>0</v>
      </c>
      <c r="GM338">
        <f t="shared" si="280"/>
        <v>57385.65</v>
      </c>
      <c r="GN338">
        <f t="shared" si="281"/>
        <v>57385.65</v>
      </c>
      <c r="GO338">
        <f t="shared" si="282"/>
        <v>0</v>
      </c>
      <c r="GP338">
        <f t="shared" si="283"/>
        <v>0</v>
      </c>
      <c r="GR338">
        <v>0</v>
      </c>
      <c r="GS338">
        <v>3</v>
      </c>
      <c r="GT338">
        <v>0</v>
      </c>
      <c r="GU338" t="s">
        <v>3</v>
      </c>
      <c r="GV338">
        <f t="shared" si="284"/>
        <v>0</v>
      </c>
      <c r="GW338">
        <v>1</v>
      </c>
      <c r="GX338">
        <f t="shared" si="285"/>
        <v>0</v>
      </c>
      <c r="HA338">
        <v>0</v>
      </c>
      <c r="HB338">
        <v>0</v>
      </c>
      <c r="HC338">
        <f t="shared" si="286"/>
        <v>0</v>
      </c>
      <c r="HE338" t="s">
        <v>3</v>
      </c>
      <c r="HF338" t="s">
        <v>3</v>
      </c>
      <c r="HM338" t="s">
        <v>3</v>
      </c>
      <c r="HN338" t="s">
        <v>3</v>
      </c>
      <c r="HO338" t="s">
        <v>3</v>
      </c>
      <c r="HP338" t="s">
        <v>3</v>
      </c>
      <c r="HQ338" t="s">
        <v>3</v>
      </c>
      <c r="IK338">
        <v>0</v>
      </c>
    </row>
    <row r="340" spans="1:245" x14ac:dyDescent="0.2">
      <c r="A340" s="2">
        <v>51</v>
      </c>
      <c r="B340" s="2">
        <f>B311</f>
        <v>1</v>
      </c>
      <c r="C340" s="2">
        <f>A311</f>
        <v>4</v>
      </c>
      <c r="D340" s="2">
        <f>ROW(A311)</f>
        <v>311</v>
      </c>
      <c r="E340" s="2"/>
      <c r="F340" s="2" t="str">
        <f>IF(F311&lt;&gt;"",F311,"")</f>
        <v>Новый раздел</v>
      </c>
      <c r="G340" s="2" t="str">
        <f>IF(G311&lt;&gt;"",G311,"")</f>
        <v>Площадка для прощания</v>
      </c>
      <c r="H340" s="2">
        <v>0</v>
      </c>
      <c r="I340" s="2"/>
      <c r="J340" s="2"/>
      <c r="K340" s="2"/>
      <c r="L340" s="2"/>
      <c r="M340" s="2"/>
      <c r="N340" s="2"/>
      <c r="O340" s="2">
        <f t="shared" ref="O340:T340" si="289">ROUND(AB340,2)</f>
        <v>178248.76</v>
      </c>
      <c r="P340" s="2">
        <f t="shared" si="289"/>
        <v>159294.81</v>
      </c>
      <c r="Q340" s="2">
        <f t="shared" si="289"/>
        <v>7953.23</v>
      </c>
      <c r="R340" s="2">
        <f t="shared" si="289"/>
        <v>1714.8</v>
      </c>
      <c r="S340" s="2">
        <f t="shared" si="289"/>
        <v>11000.72</v>
      </c>
      <c r="T340" s="2">
        <f t="shared" si="289"/>
        <v>0</v>
      </c>
      <c r="U340" s="2">
        <f>AH340</f>
        <v>38.639503999999995</v>
      </c>
      <c r="V340" s="2">
        <f>AI340</f>
        <v>4.1286240000000003</v>
      </c>
      <c r="W340" s="2">
        <f>ROUND(AJ340,2)</f>
        <v>0</v>
      </c>
      <c r="X340" s="2">
        <f>ROUND(AK340,2)</f>
        <v>12314.02</v>
      </c>
      <c r="Y340" s="2">
        <f>ROUND(AL340,2)</f>
        <v>7735.44</v>
      </c>
      <c r="Z340" s="2"/>
      <c r="AA340" s="2"/>
      <c r="AB340" s="2">
        <f>ROUND(SUMIF(AA315:AA338,"=94798619",O315:O338),2)</f>
        <v>178248.76</v>
      </c>
      <c r="AC340" s="2">
        <f>ROUND(SUMIF(AA315:AA338,"=94798619",P315:P338),2)</f>
        <v>159294.81</v>
      </c>
      <c r="AD340" s="2">
        <f>ROUND(SUMIF(AA315:AA338,"=94798619",Q315:Q338),2)</f>
        <v>7953.23</v>
      </c>
      <c r="AE340" s="2">
        <f>ROUND(SUMIF(AA315:AA338,"=94798619",R315:R338),2)</f>
        <v>1714.8</v>
      </c>
      <c r="AF340" s="2">
        <f>ROUND(SUMIF(AA315:AA338,"=94798619",S315:S338),2)</f>
        <v>11000.72</v>
      </c>
      <c r="AG340" s="2">
        <f>ROUND(SUMIF(AA315:AA338,"=94798619",T315:T338),2)</f>
        <v>0</v>
      </c>
      <c r="AH340" s="2">
        <f>SUMIF(AA315:AA338,"=94798619",U315:U338)</f>
        <v>38.639503999999995</v>
      </c>
      <c r="AI340" s="2">
        <f>SUMIF(AA315:AA338,"=94798619",V315:V338)</f>
        <v>4.1286240000000003</v>
      </c>
      <c r="AJ340" s="2">
        <f>ROUND(SUMIF(AA315:AA338,"=94798619",W315:W338),2)</f>
        <v>0</v>
      </c>
      <c r="AK340" s="2">
        <f>ROUND(SUMIF(AA315:AA338,"=94798619",X315:X338),2)</f>
        <v>12314.02</v>
      </c>
      <c r="AL340" s="2">
        <f>ROUND(SUMIF(AA315:AA338,"=94798619",Y315:Y338),2)</f>
        <v>7735.44</v>
      </c>
      <c r="AM340" s="2"/>
      <c r="AN340" s="2"/>
      <c r="AO340" s="2">
        <f t="shared" ref="AO340:BD340" si="290">ROUND(BX340,2)</f>
        <v>0</v>
      </c>
      <c r="AP340" s="2">
        <f t="shared" si="290"/>
        <v>0</v>
      </c>
      <c r="AQ340" s="2">
        <f t="shared" si="290"/>
        <v>0</v>
      </c>
      <c r="AR340" s="2">
        <f t="shared" si="290"/>
        <v>198298.22</v>
      </c>
      <c r="AS340" s="2">
        <f t="shared" si="290"/>
        <v>198298.22</v>
      </c>
      <c r="AT340" s="2">
        <f t="shared" si="290"/>
        <v>0</v>
      </c>
      <c r="AU340" s="2">
        <f t="shared" si="290"/>
        <v>0</v>
      </c>
      <c r="AV340" s="2">
        <f t="shared" si="290"/>
        <v>159294.81</v>
      </c>
      <c r="AW340" s="2">
        <f t="shared" si="290"/>
        <v>159294.81</v>
      </c>
      <c r="AX340" s="2">
        <f t="shared" si="290"/>
        <v>0</v>
      </c>
      <c r="AY340" s="2">
        <f t="shared" si="290"/>
        <v>159294.81</v>
      </c>
      <c r="AZ340" s="2">
        <f t="shared" si="290"/>
        <v>0</v>
      </c>
      <c r="BA340" s="2">
        <f t="shared" si="290"/>
        <v>0</v>
      </c>
      <c r="BB340" s="2">
        <f t="shared" si="290"/>
        <v>0</v>
      </c>
      <c r="BC340" s="2">
        <f t="shared" si="290"/>
        <v>0</v>
      </c>
      <c r="BD340" s="2">
        <f t="shared" si="290"/>
        <v>0</v>
      </c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>
        <f>ROUND(SUMIF(AA315:AA338,"=94798619",FQ315:FQ338),2)</f>
        <v>0</v>
      </c>
      <c r="BY340" s="2">
        <f>ROUND(SUMIF(AA315:AA338,"=94798619",FR315:FR338),2)</f>
        <v>0</v>
      </c>
      <c r="BZ340" s="2">
        <f>ROUND(SUMIF(AA315:AA338,"=94798619",GL315:GL338),2)</f>
        <v>0</v>
      </c>
      <c r="CA340" s="2">
        <f>ROUND(SUMIF(AA315:AA338,"=94798619",GM315:GM338),2)</f>
        <v>198298.22</v>
      </c>
      <c r="CB340" s="2">
        <f>ROUND(SUMIF(AA315:AA338,"=94798619",GN315:GN338),2)</f>
        <v>198298.22</v>
      </c>
      <c r="CC340" s="2">
        <f>ROUND(SUMIF(AA315:AA338,"=94798619",GO315:GO338),2)</f>
        <v>0</v>
      </c>
      <c r="CD340" s="2">
        <f>ROUND(SUMIF(AA315:AA338,"=94798619",GP315:GP338),2)</f>
        <v>0</v>
      </c>
      <c r="CE340" s="2">
        <f>AC340-BX340</f>
        <v>159294.81</v>
      </c>
      <c r="CF340" s="2">
        <f>AC340-BY340</f>
        <v>159294.81</v>
      </c>
      <c r="CG340" s="2">
        <f>BX340-BZ340</f>
        <v>0</v>
      </c>
      <c r="CH340" s="2">
        <f>AC340-BX340-BY340+BZ340</f>
        <v>159294.81</v>
      </c>
      <c r="CI340" s="2">
        <f>BY340-BZ340</f>
        <v>0</v>
      </c>
      <c r="CJ340" s="2">
        <f>ROUND(SUMIF(AA315:AA338,"=94798619",GX315:GX338),2)</f>
        <v>0</v>
      </c>
      <c r="CK340" s="2">
        <f>ROUND(SUMIF(AA315:AA338,"=94798619",GY315:GY338),2)</f>
        <v>0</v>
      </c>
      <c r="CL340" s="2">
        <f>ROUND(SUMIF(AA315:AA338,"=94798619",GZ315:GZ338),2)</f>
        <v>0</v>
      </c>
      <c r="CM340" s="2">
        <f>ROUND(SUMIF(AA315:AA338,"=94798619",HD315:HD338),2)</f>
        <v>0</v>
      </c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>
        <v>0</v>
      </c>
    </row>
    <row r="342" spans="1:245" x14ac:dyDescent="0.2">
      <c r="A342" s="4">
        <v>50</v>
      </c>
      <c r="B342" s="4">
        <v>0</v>
      </c>
      <c r="C342" s="4">
        <v>0</v>
      </c>
      <c r="D342" s="4">
        <v>1</v>
      </c>
      <c r="E342" s="4">
        <v>201</v>
      </c>
      <c r="F342" s="4">
        <f>ROUND(Source!O340,O342)</f>
        <v>178248.76</v>
      </c>
      <c r="G342" s="4" t="s">
        <v>82</v>
      </c>
      <c r="H342" s="4" t="s">
        <v>83</v>
      </c>
      <c r="I342" s="4"/>
      <c r="J342" s="4"/>
      <c r="K342" s="4">
        <v>201</v>
      </c>
      <c r="L342" s="4">
        <v>1</v>
      </c>
      <c r="M342" s="4">
        <v>3</v>
      </c>
      <c r="N342" s="4" t="s">
        <v>3</v>
      </c>
      <c r="O342" s="4">
        <v>2</v>
      </c>
      <c r="P342" s="4"/>
      <c r="Q342" s="4"/>
      <c r="R342" s="4"/>
      <c r="S342" s="4"/>
      <c r="T342" s="4"/>
      <c r="U342" s="4"/>
      <c r="V342" s="4"/>
      <c r="W342" s="4">
        <v>178248.76</v>
      </c>
      <c r="X342" s="4">
        <v>1</v>
      </c>
      <c r="Y342" s="4">
        <v>178248.76</v>
      </c>
      <c r="Z342" s="4"/>
      <c r="AA342" s="4"/>
      <c r="AB342" s="4"/>
    </row>
    <row r="343" spans="1:245" x14ac:dyDescent="0.2">
      <c r="A343" s="4">
        <v>50</v>
      </c>
      <c r="B343" s="4">
        <v>0</v>
      </c>
      <c r="C343" s="4">
        <v>0</v>
      </c>
      <c r="D343" s="4">
        <v>1</v>
      </c>
      <c r="E343" s="4">
        <v>202</v>
      </c>
      <c r="F343" s="4">
        <f>ROUND(Source!P340,O343)</f>
        <v>159294.81</v>
      </c>
      <c r="G343" s="4" t="s">
        <v>84</v>
      </c>
      <c r="H343" s="4" t="s">
        <v>85</v>
      </c>
      <c r="I343" s="4"/>
      <c r="J343" s="4"/>
      <c r="K343" s="4">
        <v>202</v>
      </c>
      <c r="L343" s="4">
        <v>2</v>
      </c>
      <c r="M343" s="4">
        <v>3</v>
      </c>
      <c r="N343" s="4" t="s">
        <v>3</v>
      </c>
      <c r="O343" s="4">
        <v>2</v>
      </c>
      <c r="P343" s="4"/>
      <c r="Q343" s="4"/>
      <c r="R343" s="4"/>
      <c r="S343" s="4"/>
      <c r="T343" s="4"/>
      <c r="U343" s="4"/>
      <c r="V343" s="4"/>
      <c r="W343" s="4">
        <v>159294.81</v>
      </c>
      <c r="X343" s="4">
        <v>1</v>
      </c>
      <c r="Y343" s="4">
        <v>159294.81</v>
      </c>
      <c r="Z343" s="4"/>
      <c r="AA343" s="4"/>
      <c r="AB343" s="4"/>
    </row>
    <row r="344" spans="1:245" x14ac:dyDescent="0.2">
      <c r="A344" s="4">
        <v>50</v>
      </c>
      <c r="B344" s="4">
        <v>0</v>
      </c>
      <c r="C344" s="4">
        <v>0</v>
      </c>
      <c r="D344" s="4">
        <v>1</v>
      </c>
      <c r="E344" s="4">
        <v>222</v>
      </c>
      <c r="F344" s="4">
        <f>ROUND(Source!AO340,O344)</f>
        <v>0</v>
      </c>
      <c r="G344" s="4" t="s">
        <v>86</v>
      </c>
      <c r="H344" s="4" t="s">
        <v>87</v>
      </c>
      <c r="I344" s="4"/>
      <c r="J344" s="4"/>
      <c r="K344" s="4">
        <v>222</v>
      </c>
      <c r="L344" s="4">
        <v>3</v>
      </c>
      <c r="M344" s="4">
        <v>3</v>
      </c>
      <c r="N344" s="4" t="s">
        <v>3</v>
      </c>
      <c r="O344" s="4">
        <v>2</v>
      </c>
      <c r="P344" s="4"/>
      <c r="Q344" s="4"/>
      <c r="R344" s="4"/>
      <c r="S344" s="4"/>
      <c r="T344" s="4"/>
      <c r="U344" s="4"/>
      <c r="V344" s="4"/>
      <c r="W344" s="4">
        <v>0</v>
      </c>
      <c r="X344" s="4">
        <v>1</v>
      </c>
      <c r="Y344" s="4">
        <v>0</v>
      </c>
      <c r="Z344" s="4"/>
      <c r="AA344" s="4"/>
      <c r="AB344" s="4"/>
    </row>
    <row r="345" spans="1:245" x14ac:dyDescent="0.2">
      <c r="A345" s="4">
        <v>50</v>
      </c>
      <c r="B345" s="4">
        <v>0</v>
      </c>
      <c r="C345" s="4">
        <v>0</v>
      </c>
      <c r="D345" s="4">
        <v>1</v>
      </c>
      <c r="E345" s="4">
        <v>225</v>
      </c>
      <c r="F345" s="4">
        <f>ROUND(Source!AV340,O345)</f>
        <v>159294.81</v>
      </c>
      <c r="G345" s="4" t="s">
        <v>88</v>
      </c>
      <c r="H345" s="4" t="s">
        <v>89</v>
      </c>
      <c r="I345" s="4"/>
      <c r="J345" s="4"/>
      <c r="K345" s="4">
        <v>225</v>
      </c>
      <c r="L345" s="4">
        <v>4</v>
      </c>
      <c r="M345" s="4">
        <v>3</v>
      </c>
      <c r="N345" s="4" t="s">
        <v>3</v>
      </c>
      <c r="O345" s="4">
        <v>2</v>
      </c>
      <c r="P345" s="4"/>
      <c r="Q345" s="4"/>
      <c r="R345" s="4"/>
      <c r="S345" s="4"/>
      <c r="T345" s="4"/>
      <c r="U345" s="4"/>
      <c r="V345" s="4"/>
      <c r="W345" s="4">
        <v>159294.81</v>
      </c>
      <c r="X345" s="4">
        <v>1</v>
      </c>
      <c r="Y345" s="4">
        <v>159294.81</v>
      </c>
      <c r="Z345" s="4"/>
      <c r="AA345" s="4"/>
      <c r="AB345" s="4"/>
    </row>
    <row r="346" spans="1:245" x14ac:dyDescent="0.2">
      <c r="A346" s="4">
        <v>50</v>
      </c>
      <c r="B346" s="4">
        <v>0</v>
      </c>
      <c r="C346" s="4">
        <v>0</v>
      </c>
      <c r="D346" s="4">
        <v>1</v>
      </c>
      <c r="E346" s="4">
        <v>226</v>
      </c>
      <c r="F346" s="4">
        <f>ROUND(Source!AW340,O346)</f>
        <v>159294.81</v>
      </c>
      <c r="G346" s="4" t="s">
        <v>90</v>
      </c>
      <c r="H346" s="4" t="s">
        <v>91</v>
      </c>
      <c r="I346" s="4"/>
      <c r="J346" s="4"/>
      <c r="K346" s="4">
        <v>226</v>
      </c>
      <c r="L346" s="4">
        <v>5</v>
      </c>
      <c r="M346" s="4">
        <v>3</v>
      </c>
      <c r="N346" s="4" t="s">
        <v>3</v>
      </c>
      <c r="O346" s="4">
        <v>2</v>
      </c>
      <c r="P346" s="4"/>
      <c r="Q346" s="4"/>
      <c r="R346" s="4"/>
      <c r="S346" s="4"/>
      <c r="T346" s="4"/>
      <c r="U346" s="4"/>
      <c r="V346" s="4"/>
      <c r="W346" s="4">
        <v>159294.81</v>
      </c>
      <c r="X346" s="4">
        <v>1</v>
      </c>
      <c r="Y346" s="4">
        <v>159294.81</v>
      </c>
      <c r="Z346" s="4"/>
      <c r="AA346" s="4"/>
      <c r="AB346" s="4"/>
    </row>
    <row r="347" spans="1:245" x14ac:dyDescent="0.2">
      <c r="A347" s="4">
        <v>50</v>
      </c>
      <c r="B347" s="4">
        <v>0</v>
      </c>
      <c r="C347" s="4">
        <v>0</v>
      </c>
      <c r="D347" s="4">
        <v>1</v>
      </c>
      <c r="E347" s="4">
        <v>227</v>
      </c>
      <c r="F347" s="4">
        <f>ROUND(Source!AX340,O347)</f>
        <v>0</v>
      </c>
      <c r="G347" s="4" t="s">
        <v>92</v>
      </c>
      <c r="H347" s="4" t="s">
        <v>93</v>
      </c>
      <c r="I347" s="4"/>
      <c r="J347" s="4"/>
      <c r="K347" s="4">
        <v>227</v>
      </c>
      <c r="L347" s="4">
        <v>6</v>
      </c>
      <c r="M347" s="4">
        <v>3</v>
      </c>
      <c r="N347" s="4" t="s">
        <v>3</v>
      </c>
      <c r="O347" s="4">
        <v>2</v>
      </c>
      <c r="P347" s="4"/>
      <c r="Q347" s="4"/>
      <c r="R347" s="4"/>
      <c r="S347" s="4"/>
      <c r="T347" s="4"/>
      <c r="U347" s="4"/>
      <c r="V347" s="4"/>
      <c r="W347" s="4">
        <v>0</v>
      </c>
      <c r="X347" s="4">
        <v>1</v>
      </c>
      <c r="Y347" s="4">
        <v>0</v>
      </c>
      <c r="Z347" s="4"/>
      <c r="AA347" s="4"/>
      <c r="AB347" s="4"/>
    </row>
    <row r="348" spans="1:245" x14ac:dyDescent="0.2">
      <c r="A348" s="4">
        <v>50</v>
      </c>
      <c r="B348" s="4">
        <v>0</v>
      </c>
      <c r="C348" s="4">
        <v>0</v>
      </c>
      <c r="D348" s="4">
        <v>1</v>
      </c>
      <c r="E348" s="4">
        <v>228</v>
      </c>
      <c r="F348" s="4">
        <f>ROUND(Source!AY340,O348)</f>
        <v>159294.81</v>
      </c>
      <c r="G348" s="4" t="s">
        <v>94</v>
      </c>
      <c r="H348" s="4" t="s">
        <v>95</v>
      </c>
      <c r="I348" s="4"/>
      <c r="J348" s="4"/>
      <c r="K348" s="4">
        <v>228</v>
      </c>
      <c r="L348" s="4">
        <v>7</v>
      </c>
      <c r="M348" s="4">
        <v>3</v>
      </c>
      <c r="N348" s="4" t="s">
        <v>3</v>
      </c>
      <c r="O348" s="4">
        <v>2</v>
      </c>
      <c r="P348" s="4"/>
      <c r="Q348" s="4"/>
      <c r="R348" s="4"/>
      <c r="S348" s="4"/>
      <c r="T348" s="4"/>
      <c r="U348" s="4"/>
      <c r="V348" s="4"/>
      <c r="W348" s="4">
        <v>159294.81</v>
      </c>
      <c r="X348" s="4">
        <v>1</v>
      </c>
      <c r="Y348" s="4">
        <v>159294.81</v>
      </c>
      <c r="Z348" s="4"/>
      <c r="AA348" s="4"/>
      <c r="AB348" s="4"/>
    </row>
    <row r="349" spans="1:245" x14ac:dyDescent="0.2">
      <c r="A349" s="4">
        <v>50</v>
      </c>
      <c r="B349" s="4">
        <v>0</v>
      </c>
      <c r="C349" s="4">
        <v>0</v>
      </c>
      <c r="D349" s="4">
        <v>1</v>
      </c>
      <c r="E349" s="4">
        <v>216</v>
      </c>
      <c r="F349" s="4">
        <f>ROUND(Source!AP340,O349)</f>
        <v>0</v>
      </c>
      <c r="G349" s="4" t="s">
        <v>96</v>
      </c>
      <c r="H349" s="4" t="s">
        <v>97</v>
      </c>
      <c r="I349" s="4"/>
      <c r="J349" s="4"/>
      <c r="K349" s="4">
        <v>216</v>
      </c>
      <c r="L349" s="4">
        <v>8</v>
      </c>
      <c r="M349" s="4">
        <v>3</v>
      </c>
      <c r="N349" s="4" t="s">
        <v>3</v>
      </c>
      <c r="O349" s="4">
        <v>2</v>
      </c>
      <c r="P349" s="4"/>
      <c r="Q349" s="4"/>
      <c r="R349" s="4"/>
      <c r="S349" s="4"/>
      <c r="T349" s="4"/>
      <c r="U349" s="4"/>
      <c r="V349" s="4"/>
      <c r="W349" s="4">
        <v>0</v>
      </c>
      <c r="X349" s="4">
        <v>1</v>
      </c>
      <c r="Y349" s="4">
        <v>0</v>
      </c>
      <c r="Z349" s="4"/>
      <c r="AA349" s="4"/>
      <c r="AB349" s="4"/>
    </row>
    <row r="350" spans="1:245" x14ac:dyDescent="0.2">
      <c r="A350" s="4">
        <v>50</v>
      </c>
      <c r="B350" s="4">
        <v>0</v>
      </c>
      <c r="C350" s="4">
        <v>0</v>
      </c>
      <c r="D350" s="4">
        <v>1</v>
      </c>
      <c r="E350" s="4">
        <v>223</v>
      </c>
      <c r="F350" s="4">
        <f>ROUND(Source!AQ340,O350)</f>
        <v>0</v>
      </c>
      <c r="G350" s="4" t="s">
        <v>98</v>
      </c>
      <c r="H350" s="4" t="s">
        <v>99</v>
      </c>
      <c r="I350" s="4"/>
      <c r="J350" s="4"/>
      <c r="K350" s="4">
        <v>223</v>
      </c>
      <c r="L350" s="4">
        <v>9</v>
      </c>
      <c r="M350" s="4">
        <v>3</v>
      </c>
      <c r="N350" s="4" t="s">
        <v>3</v>
      </c>
      <c r="O350" s="4">
        <v>2</v>
      </c>
      <c r="P350" s="4"/>
      <c r="Q350" s="4"/>
      <c r="R350" s="4"/>
      <c r="S350" s="4"/>
      <c r="T350" s="4"/>
      <c r="U350" s="4"/>
      <c r="V350" s="4"/>
      <c r="W350" s="4">
        <v>0</v>
      </c>
      <c r="X350" s="4">
        <v>1</v>
      </c>
      <c r="Y350" s="4">
        <v>0</v>
      </c>
      <c r="Z350" s="4"/>
      <c r="AA350" s="4"/>
      <c r="AB350" s="4"/>
    </row>
    <row r="351" spans="1:245" x14ac:dyDescent="0.2">
      <c r="A351" s="4">
        <v>50</v>
      </c>
      <c r="B351" s="4">
        <v>0</v>
      </c>
      <c r="C351" s="4">
        <v>0</v>
      </c>
      <c r="D351" s="4">
        <v>1</v>
      </c>
      <c r="E351" s="4">
        <v>229</v>
      </c>
      <c r="F351" s="4">
        <f>ROUND(Source!AZ340,O351)</f>
        <v>0</v>
      </c>
      <c r="G351" s="4" t="s">
        <v>100</v>
      </c>
      <c r="H351" s="4" t="s">
        <v>101</v>
      </c>
      <c r="I351" s="4"/>
      <c r="J351" s="4"/>
      <c r="K351" s="4">
        <v>229</v>
      </c>
      <c r="L351" s="4">
        <v>10</v>
      </c>
      <c r="M351" s="4">
        <v>3</v>
      </c>
      <c r="N351" s="4" t="s">
        <v>3</v>
      </c>
      <c r="O351" s="4">
        <v>2</v>
      </c>
      <c r="P351" s="4"/>
      <c r="Q351" s="4"/>
      <c r="R351" s="4"/>
      <c r="S351" s="4"/>
      <c r="T351" s="4"/>
      <c r="U351" s="4"/>
      <c r="V351" s="4"/>
      <c r="W351" s="4">
        <v>0</v>
      </c>
      <c r="X351" s="4">
        <v>1</v>
      </c>
      <c r="Y351" s="4">
        <v>0</v>
      </c>
      <c r="Z351" s="4"/>
      <c r="AA351" s="4"/>
      <c r="AB351" s="4"/>
    </row>
    <row r="352" spans="1:245" x14ac:dyDescent="0.2">
      <c r="A352" s="4">
        <v>50</v>
      </c>
      <c r="B352" s="4">
        <v>0</v>
      </c>
      <c r="C352" s="4">
        <v>0</v>
      </c>
      <c r="D352" s="4">
        <v>1</v>
      </c>
      <c r="E352" s="4">
        <v>203</v>
      </c>
      <c r="F352" s="4">
        <f>ROUND(Source!Q340,O352)</f>
        <v>7953.23</v>
      </c>
      <c r="G352" s="4" t="s">
        <v>102</v>
      </c>
      <c r="H352" s="4" t="s">
        <v>103</v>
      </c>
      <c r="I352" s="4"/>
      <c r="J352" s="4"/>
      <c r="K352" s="4">
        <v>203</v>
      </c>
      <c r="L352" s="4">
        <v>11</v>
      </c>
      <c r="M352" s="4">
        <v>3</v>
      </c>
      <c r="N352" s="4" t="s">
        <v>3</v>
      </c>
      <c r="O352" s="4">
        <v>2</v>
      </c>
      <c r="P352" s="4"/>
      <c r="Q352" s="4"/>
      <c r="R352" s="4"/>
      <c r="S352" s="4"/>
      <c r="T352" s="4"/>
      <c r="U352" s="4"/>
      <c r="V352" s="4"/>
      <c r="W352" s="4">
        <v>7953.23</v>
      </c>
      <c r="X352" s="4">
        <v>1</v>
      </c>
      <c r="Y352" s="4">
        <v>7953.23</v>
      </c>
      <c r="Z352" s="4"/>
      <c r="AA352" s="4"/>
      <c r="AB352" s="4"/>
    </row>
    <row r="353" spans="1:28" x14ac:dyDescent="0.2">
      <c r="A353" s="4">
        <v>50</v>
      </c>
      <c r="B353" s="4">
        <v>0</v>
      </c>
      <c r="C353" s="4">
        <v>0</v>
      </c>
      <c r="D353" s="4">
        <v>1</v>
      </c>
      <c r="E353" s="4">
        <v>231</v>
      </c>
      <c r="F353" s="4">
        <f>ROUND(Source!BB340,O353)</f>
        <v>0</v>
      </c>
      <c r="G353" s="4" t="s">
        <v>104</v>
      </c>
      <c r="H353" s="4" t="s">
        <v>105</v>
      </c>
      <c r="I353" s="4"/>
      <c r="J353" s="4"/>
      <c r="K353" s="4">
        <v>231</v>
      </c>
      <c r="L353" s="4">
        <v>12</v>
      </c>
      <c r="M353" s="4">
        <v>3</v>
      </c>
      <c r="N353" s="4" t="s">
        <v>3</v>
      </c>
      <c r="O353" s="4">
        <v>2</v>
      </c>
      <c r="P353" s="4"/>
      <c r="Q353" s="4"/>
      <c r="R353" s="4"/>
      <c r="S353" s="4"/>
      <c r="T353" s="4"/>
      <c r="U353" s="4"/>
      <c r="V353" s="4"/>
      <c r="W353" s="4">
        <v>0</v>
      </c>
      <c r="X353" s="4">
        <v>1</v>
      </c>
      <c r="Y353" s="4">
        <v>0</v>
      </c>
      <c r="Z353" s="4"/>
      <c r="AA353" s="4"/>
      <c r="AB353" s="4"/>
    </row>
    <row r="354" spans="1:28" x14ac:dyDescent="0.2">
      <c r="A354" s="4">
        <v>50</v>
      </c>
      <c r="B354" s="4">
        <v>0</v>
      </c>
      <c r="C354" s="4">
        <v>0</v>
      </c>
      <c r="D354" s="4">
        <v>1</v>
      </c>
      <c r="E354" s="4">
        <v>204</v>
      </c>
      <c r="F354" s="4">
        <f>ROUND(Source!R340,O354)</f>
        <v>1714.8</v>
      </c>
      <c r="G354" s="4" t="s">
        <v>106</v>
      </c>
      <c r="H354" s="4" t="s">
        <v>107</v>
      </c>
      <c r="I354" s="4"/>
      <c r="J354" s="4"/>
      <c r="K354" s="4">
        <v>204</v>
      </c>
      <c r="L354" s="4">
        <v>13</v>
      </c>
      <c r="M354" s="4">
        <v>3</v>
      </c>
      <c r="N354" s="4" t="s">
        <v>3</v>
      </c>
      <c r="O354" s="4">
        <v>2</v>
      </c>
      <c r="P354" s="4"/>
      <c r="Q354" s="4"/>
      <c r="R354" s="4"/>
      <c r="S354" s="4"/>
      <c r="T354" s="4"/>
      <c r="U354" s="4"/>
      <c r="V354" s="4"/>
      <c r="W354" s="4">
        <v>1714.8</v>
      </c>
      <c r="X354" s="4">
        <v>1</v>
      </c>
      <c r="Y354" s="4">
        <v>1714.8</v>
      </c>
      <c r="Z354" s="4"/>
      <c r="AA354" s="4"/>
      <c r="AB354" s="4"/>
    </row>
    <row r="355" spans="1:28" x14ac:dyDescent="0.2">
      <c r="A355" s="4">
        <v>50</v>
      </c>
      <c r="B355" s="4">
        <v>0</v>
      </c>
      <c r="C355" s="4">
        <v>0</v>
      </c>
      <c r="D355" s="4">
        <v>1</v>
      </c>
      <c r="E355" s="4">
        <v>205</v>
      </c>
      <c r="F355" s="4">
        <f>ROUND(Source!S340,O355)</f>
        <v>11000.72</v>
      </c>
      <c r="G355" s="4" t="s">
        <v>108</v>
      </c>
      <c r="H355" s="4" t="s">
        <v>109</v>
      </c>
      <c r="I355" s="4"/>
      <c r="J355" s="4"/>
      <c r="K355" s="4">
        <v>205</v>
      </c>
      <c r="L355" s="4">
        <v>14</v>
      </c>
      <c r="M355" s="4">
        <v>3</v>
      </c>
      <c r="N355" s="4" t="s">
        <v>3</v>
      </c>
      <c r="O355" s="4">
        <v>2</v>
      </c>
      <c r="P355" s="4"/>
      <c r="Q355" s="4"/>
      <c r="R355" s="4"/>
      <c r="S355" s="4"/>
      <c r="T355" s="4"/>
      <c r="U355" s="4"/>
      <c r="V355" s="4"/>
      <c r="W355" s="4">
        <v>11000.72</v>
      </c>
      <c r="X355" s="4">
        <v>1</v>
      </c>
      <c r="Y355" s="4">
        <v>11000.72</v>
      </c>
      <c r="Z355" s="4"/>
      <c r="AA355" s="4"/>
      <c r="AB355" s="4"/>
    </row>
    <row r="356" spans="1:28" x14ac:dyDescent="0.2">
      <c r="A356" s="4">
        <v>50</v>
      </c>
      <c r="B356" s="4">
        <v>0</v>
      </c>
      <c r="C356" s="4">
        <v>0</v>
      </c>
      <c r="D356" s="4">
        <v>1</v>
      </c>
      <c r="E356" s="4">
        <v>232</v>
      </c>
      <c r="F356" s="4">
        <f>ROUND(Source!BC340,O356)</f>
        <v>0</v>
      </c>
      <c r="G356" s="4" t="s">
        <v>110</v>
      </c>
      <c r="H356" s="4" t="s">
        <v>111</v>
      </c>
      <c r="I356" s="4"/>
      <c r="J356" s="4"/>
      <c r="K356" s="4">
        <v>232</v>
      </c>
      <c r="L356" s="4">
        <v>15</v>
      </c>
      <c r="M356" s="4">
        <v>3</v>
      </c>
      <c r="N356" s="4" t="s">
        <v>3</v>
      </c>
      <c r="O356" s="4">
        <v>2</v>
      </c>
      <c r="P356" s="4"/>
      <c r="Q356" s="4"/>
      <c r="R356" s="4"/>
      <c r="S356" s="4"/>
      <c r="T356" s="4"/>
      <c r="U356" s="4"/>
      <c r="V356" s="4"/>
      <c r="W356" s="4">
        <v>0</v>
      </c>
      <c r="X356" s="4">
        <v>1</v>
      </c>
      <c r="Y356" s="4">
        <v>0</v>
      </c>
      <c r="Z356" s="4"/>
      <c r="AA356" s="4"/>
      <c r="AB356" s="4"/>
    </row>
    <row r="357" spans="1:28" x14ac:dyDescent="0.2">
      <c r="A357" s="4">
        <v>50</v>
      </c>
      <c r="B357" s="4">
        <v>0</v>
      </c>
      <c r="C357" s="4">
        <v>0</v>
      </c>
      <c r="D357" s="4">
        <v>1</v>
      </c>
      <c r="E357" s="4">
        <v>214</v>
      </c>
      <c r="F357" s="4">
        <f>ROUND(Source!AS340,O357)</f>
        <v>198298.22</v>
      </c>
      <c r="G357" s="4" t="s">
        <v>112</v>
      </c>
      <c r="H357" s="4" t="s">
        <v>113</v>
      </c>
      <c r="I357" s="4"/>
      <c r="J357" s="4"/>
      <c r="K357" s="4">
        <v>214</v>
      </c>
      <c r="L357" s="4">
        <v>16</v>
      </c>
      <c r="M357" s="4">
        <v>3</v>
      </c>
      <c r="N357" s="4" t="s">
        <v>3</v>
      </c>
      <c r="O357" s="4">
        <v>2</v>
      </c>
      <c r="P357" s="4"/>
      <c r="Q357" s="4"/>
      <c r="R357" s="4"/>
      <c r="S357" s="4"/>
      <c r="T357" s="4"/>
      <c r="U357" s="4"/>
      <c r="V357" s="4"/>
      <c r="W357" s="4">
        <v>198298.22</v>
      </c>
      <c r="X357" s="4">
        <v>1</v>
      </c>
      <c r="Y357" s="4">
        <v>198298.22</v>
      </c>
      <c r="Z357" s="4"/>
      <c r="AA357" s="4"/>
      <c r="AB357" s="4"/>
    </row>
    <row r="358" spans="1:28" x14ac:dyDescent="0.2">
      <c r="A358" s="4">
        <v>50</v>
      </c>
      <c r="B358" s="4">
        <v>0</v>
      </c>
      <c r="C358" s="4">
        <v>0</v>
      </c>
      <c r="D358" s="4">
        <v>1</v>
      </c>
      <c r="E358" s="4">
        <v>215</v>
      </c>
      <c r="F358" s="4">
        <f>ROUND(Source!AT340,O358)</f>
        <v>0</v>
      </c>
      <c r="G358" s="4" t="s">
        <v>114</v>
      </c>
      <c r="H358" s="4" t="s">
        <v>115</v>
      </c>
      <c r="I358" s="4"/>
      <c r="J358" s="4"/>
      <c r="K358" s="4">
        <v>215</v>
      </c>
      <c r="L358" s="4">
        <v>17</v>
      </c>
      <c r="M358" s="4">
        <v>3</v>
      </c>
      <c r="N358" s="4" t="s">
        <v>3</v>
      </c>
      <c r="O358" s="4">
        <v>2</v>
      </c>
      <c r="P358" s="4"/>
      <c r="Q358" s="4"/>
      <c r="R358" s="4"/>
      <c r="S358" s="4"/>
      <c r="T358" s="4"/>
      <c r="U358" s="4"/>
      <c r="V358" s="4"/>
      <c r="W358" s="4">
        <v>0</v>
      </c>
      <c r="X358" s="4">
        <v>1</v>
      </c>
      <c r="Y358" s="4">
        <v>0</v>
      </c>
      <c r="Z358" s="4"/>
      <c r="AA358" s="4"/>
      <c r="AB358" s="4"/>
    </row>
    <row r="359" spans="1:28" x14ac:dyDescent="0.2">
      <c r="A359" s="4">
        <v>50</v>
      </c>
      <c r="B359" s="4">
        <v>0</v>
      </c>
      <c r="C359" s="4">
        <v>0</v>
      </c>
      <c r="D359" s="4">
        <v>1</v>
      </c>
      <c r="E359" s="4">
        <v>217</v>
      </c>
      <c r="F359" s="4">
        <f>ROUND(Source!AU340,O359)</f>
        <v>0</v>
      </c>
      <c r="G359" s="4" t="s">
        <v>116</v>
      </c>
      <c r="H359" s="4" t="s">
        <v>117</v>
      </c>
      <c r="I359" s="4"/>
      <c r="J359" s="4"/>
      <c r="K359" s="4">
        <v>217</v>
      </c>
      <c r="L359" s="4">
        <v>18</v>
      </c>
      <c r="M359" s="4">
        <v>3</v>
      </c>
      <c r="N359" s="4" t="s">
        <v>3</v>
      </c>
      <c r="O359" s="4">
        <v>2</v>
      </c>
      <c r="P359" s="4"/>
      <c r="Q359" s="4"/>
      <c r="R359" s="4"/>
      <c r="S359" s="4"/>
      <c r="T359" s="4"/>
      <c r="U359" s="4"/>
      <c r="V359" s="4"/>
      <c r="W359" s="4">
        <v>0</v>
      </c>
      <c r="X359" s="4">
        <v>1</v>
      </c>
      <c r="Y359" s="4">
        <v>0</v>
      </c>
      <c r="Z359" s="4"/>
      <c r="AA359" s="4"/>
      <c r="AB359" s="4"/>
    </row>
    <row r="360" spans="1:28" x14ac:dyDescent="0.2">
      <c r="A360" s="4">
        <v>50</v>
      </c>
      <c r="B360" s="4">
        <v>0</v>
      </c>
      <c r="C360" s="4">
        <v>0</v>
      </c>
      <c r="D360" s="4">
        <v>1</v>
      </c>
      <c r="E360" s="4">
        <v>230</v>
      </c>
      <c r="F360" s="4">
        <f>ROUND(Source!BA340,O360)</f>
        <v>0</v>
      </c>
      <c r="G360" s="4" t="s">
        <v>118</v>
      </c>
      <c r="H360" s="4" t="s">
        <v>119</v>
      </c>
      <c r="I360" s="4"/>
      <c r="J360" s="4"/>
      <c r="K360" s="4">
        <v>230</v>
      </c>
      <c r="L360" s="4">
        <v>19</v>
      </c>
      <c r="M360" s="4">
        <v>3</v>
      </c>
      <c r="N360" s="4" t="s">
        <v>3</v>
      </c>
      <c r="O360" s="4">
        <v>2</v>
      </c>
      <c r="P360" s="4"/>
      <c r="Q360" s="4"/>
      <c r="R360" s="4"/>
      <c r="S360" s="4"/>
      <c r="T360" s="4"/>
      <c r="U360" s="4"/>
      <c r="V360" s="4"/>
      <c r="W360" s="4">
        <v>0</v>
      </c>
      <c r="X360" s="4">
        <v>1</v>
      </c>
      <c r="Y360" s="4">
        <v>0</v>
      </c>
      <c r="Z360" s="4"/>
      <c r="AA360" s="4"/>
      <c r="AB360" s="4"/>
    </row>
    <row r="361" spans="1:28" x14ac:dyDescent="0.2">
      <c r="A361" s="4">
        <v>50</v>
      </c>
      <c r="B361" s="4">
        <v>0</v>
      </c>
      <c r="C361" s="4">
        <v>0</v>
      </c>
      <c r="D361" s="4">
        <v>1</v>
      </c>
      <c r="E361" s="4">
        <v>206</v>
      </c>
      <c r="F361" s="4">
        <f>ROUND(Source!T340,O361)</f>
        <v>0</v>
      </c>
      <c r="G361" s="4" t="s">
        <v>120</v>
      </c>
      <c r="H361" s="4" t="s">
        <v>121</v>
      </c>
      <c r="I361" s="4"/>
      <c r="J361" s="4"/>
      <c r="K361" s="4">
        <v>206</v>
      </c>
      <c r="L361" s="4">
        <v>20</v>
      </c>
      <c r="M361" s="4">
        <v>3</v>
      </c>
      <c r="N361" s="4" t="s">
        <v>3</v>
      </c>
      <c r="O361" s="4">
        <v>2</v>
      </c>
      <c r="P361" s="4"/>
      <c r="Q361" s="4"/>
      <c r="R361" s="4"/>
      <c r="S361" s="4"/>
      <c r="T361" s="4"/>
      <c r="U361" s="4"/>
      <c r="V361" s="4"/>
      <c r="W361" s="4">
        <v>0</v>
      </c>
      <c r="X361" s="4">
        <v>1</v>
      </c>
      <c r="Y361" s="4">
        <v>0</v>
      </c>
      <c r="Z361" s="4"/>
      <c r="AA361" s="4"/>
      <c r="AB361" s="4"/>
    </row>
    <row r="362" spans="1:28" x14ac:dyDescent="0.2">
      <c r="A362" s="4">
        <v>50</v>
      </c>
      <c r="B362" s="4">
        <v>0</v>
      </c>
      <c r="C362" s="4">
        <v>0</v>
      </c>
      <c r="D362" s="4">
        <v>1</v>
      </c>
      <c r="E362" s="4">
        <v>207</v>
      </c>
      <c r="F362" s="4">
        <f>Source!U340</f>
        <v>38.639503999999995</v>
      </c>
      <c r="G362" s="4" t="s">
        <v>122</v>
      </c>
      <c r="H362" s="4" t="s">
        <v>123</v>
      </c>
      <c r="I362" s="4"/>
      <c r="J362" s="4"/>
      <c r="K362" s="4">
        <v>207</v>
      </c>
      <c r="L362" s="4">
        <v>21</v>
      </c>
      <c r="M362" s="4">
        <v>3</v>
      </c>
      <c r="N362" s="4" t="s">
        <v>3</v>
      </c>
      <c r="O362" s="4">
        <v>-1</v>
      </c>
      <c r="P362" s="4"/>
      <c r="Q362" s="4"/>
      <c r="R362" s="4"/>
      <c r="S362" s="4"/>
      <c r="T362" s="4"/>
      <c r="U362" s="4"/>
      <c r="V362" s="4"/>
      <c r="W362" s="4">
        <v>38.639503999999995</v>
      </c>
      <c r="X362" s="4">
        <v>1</v>
      </c>
      <c r="Y362" s="4">
        <v>38.639503999999995</v>
      </c>
      <c r="Z362" s="4"/>
      <c r="AA362" s="4"/>
      <c r="AB362" s="4"/>
    </row>
    <row r="363" spans="1:28" x14ac:dyDescent="0.2">
      <c r="A363" s="4">
        <v>50</v>
      </c>
      <c r="B363" s="4">
        <v>0</v>
      </c>
      <c r="C363" s="4">
        <v>0</v>
      </c>
      <c r="D363" s="4">
        <v>1</v>
      </c>
      <c r="E363" s="4">
        <v>208</v>
      </c>
      <c r="F363" s="4">
        <f>Source!V340</f>
        <v>4.1286240000000003</v>
      </c>
      <c r="G363" s="4" t="s">
        <v>124</v>
      </c>
      <c r="H363" s="4" t="s">
        <v>125</v>
      </c>
      <c r="I363" s="4"/>
      <c r="J363" s="4"/>
      <c r="K363" s="4">
        <v>208</v>
      </c>
      <c r="L363" s="4">
        <v>22</v>
      </c>
      <c r="M363" s="4">
        <v>3</v>
      </c>
      <c r="N363" s="4" t="s">
        <v>3</v>
      </c>
      <c r="O363" s="4">
        <v>-1</v>
      </c>
      <c r="P363" s="4"/>
      <c r="Q363" s="4"/>
      <c r="R363" s="4"/>
      <c r="S363" s="4"/>
      <c r="T363" s="4"/>
      <c r="U363" s="4"/>
      <c r="V363" s="4"/>
      <c r="W363" s="4">
        <v>4.1286240000000003</v>
      </c>
      <c r="X363" s="4">
        <v>1</v>
      </c>
      <c r="Y363" s="4">
        <v>4.1286240000000003</v>
      </c>
      <c r="Z363" s="4"/>
      <c r="AA363" s="4"/>
      <c r="AB363" s="4"/>
    </row>
    <row r="364" spans="1:28" x14ac:dyDescent="0.2">
      <c r="A364" s="4">
        <v>50</v>
      </c>
      <c r="B364" s="4">
        <v>0</v>
      </c>
      <c r="C364" s="4">
        <v>0</v>
      </c>
      <c r="D364" s="4">
        <v>1</v>
      </c>
      <c r="E364" s="4">
        <v>209</v>
      </c>
      <c r="F364" s="4">
        <f>ROUND(Source!W340,O364)</f>
        <v>0</v>
      </c>
      <c r="G364" s="4" t="s">
        <v>126</v>
      </c>
      <c r="H364" s="4" t="s">
        <v>127</v>
      </c>
      <c r="I364" s="4"/>
      <c r="J364" s="4"/>
      <c r="K364" s="4">
        <v>209</v>
      </c>
      <c r="L364" s="4">
        <v>23</v>
      </c>
      <c r="M364" s="4">
        <v>3</v>
      </c>
      <c r="N364" s="4" t="s">
        <v>3</v>
      </c>
      <c r="O364" s="4">
        <v>2</v>
      </c>
      <c r="P364" s="4"/>
      <c r="Q364" s="4"/>
      <c r="R364" s="4"/>
      <c r="S364" s="4"/>
      <c r="T364" s="4"/>
      <c r="U364" s="4"/>
      <c r="V364" s="4"/>
      <c r="W364" s="4">
        <v>0</v>
      </c>
      <c r="X364" s="4">
        <v>1</v>
      </c>
      <c r="Y364" s="4">
        <v>0</v>
      </c>
      <c r="Z364" s="4"/>
      <c r="AA364" s="4"/>
      <c r="AB364" s="4"/>
    </row>
    <row r="365" spans="1:28" x14ac:dyDescent="0.2">
      <c r="A365" s="4">
        <v>50</v>
      </c>
      <c r="B365" s="4">
        <v>0</v>
      </c>
      <c r="C365" s="4">
        <v>0</v>
      </c>
      <c r="D365" s="4">
        <v>1</v>
      </c>
      <c r="E365" s="4">
        <v>233</v>
      </c>
      <c r="F365" s="4">
        <f>ROUND(Source!BD340,O365)</f>
        <v>0</v>
      </c>
      <c r="G365" s="4" t="s">
        <v>128</v>
      </c>
      <c r="H365" s="4" t="s">
        <v>129</v>
      </c>
      <c r="I365" s="4"/>
      <c r="J365" s="4"/>
      <c r="K365" s="4">
        <v>233</v>
      </c>
      <c r="L365" s="4">
        <v>24</v>
      </c>
      <c r="M365" s="4">
        <v>3</v>
      </c>
      <c r="N365" s="4" t="s">
        <v>3</v>
      </c>
      <c r="O365" s="4">
        <v>2</v>
      </c>
      <c r="P365" s="4"/>
      <c r="Q365" s="4"/>
      <c r="R365" s="4"/>
      <c r="S365" s="4"/>
      <c r="T365" s="4"/>
      <c r="U365" s="4"/>
      <c r="V365" s="4"/>
      <c r="W365" s="4">
        <v>0</v>
      </c>
      <c r="X365" s="4">
        <v>1</v>
      </c>
      <c r="Y365" s="4">
        <v>0</v>
      </c>
      <c r="Z365" s="4"/>
      <c r="AA365" s="4"/>
      <c r="AB365" s="4"/>
    </row>
    <row r="366" spans="1:28" x14ac:dyDescent="0.2">
      <c r="A366" s="4">
        <v>50</v>
      </c>
      <c r="B366" s="4">
        <v>0</v>
      </c>
      <c r="C366" s="4">
        <v>0</v>
      </c>
      <c r="D366" s="4">
        <v>1</v>
      </c>
      <c r="E366" s="4">
        <v>210</v>
      </c>
      <c r="F366" s="4">
        <f>ROUND(Source!X340,O366)</f>
        <v>12314.02</v>
      </c>
      <c r="G366" s="4" t="s">
        <v>130</v>
      </c>
      <c r="H366" s="4" t="s">
        <v>131</v>
      </c>
      <c r="I366" s="4"/>
      <c r="J366" s="4"/>
      <c r="K366" s="4">
        <v>210</v>
      </c>
      <c r="L366" s="4">
        <v>25</v>
      </c>
      <c r="M366" s="4">
        <v>3</v>
      </c>
      <c r="N366" s="4" t="s">
        <v>3</v>
      </c>
      <c r="O366" s="4">
        <v>2</v>
      </c>
      <c r="P366" s="4"/>
      <c r="Q366" s="4"/>
      <c r="R366" s="4"/>
      <c r="S366" s="4"/>
      <c r="T366" s="4"/>
      <c r="U366" s="4"/>
      <c r="V366" s="4"/>
      <c r="W366" s="4">
        <v>12314.02</v>
      </c>
      <c r="X366" s="4">
        <v>1</v>
      </c>
      <c r="Y366" s="4">
        <v>12314.02</v>
      </c>
      <c r="Z366" s="4"/>
      <c r="AA366" s="4"/>
      <c r="AB366" s="4"/>
    </row>
    <row r="367" spans="1:28" x14ac:dyDescent="0.2">
      <c r="A367" s="4">
        <v>50</v>
      </c>
      <c r="B367" s="4">
        <v>0</v>
      </c>
      <c r="C367" s="4">
        <v>0</v>
      </c>
      <c r="D367" s="4">
        <v>1</v>
      </c>
      <c r="E367" s="4">
        <v>211</v>
      </c>
      <c r="F367" s="4">
        <f>ROUND(Source!Y340,O367)</f>
        <v>7735.44</v>
      </c>
      <c r="G367" s="4" t="s">
        <v>132</v>
      </c>
      <c r="H367" s="4" t="s">
        <v>133</v>
      </c>
      <c r="I367" s="4"/>
      <c r="J367" s="4"/>
      <c r="K367" s="4">
        <v>211</v>
      </c>
      <c r="L367" s="4">
        <v>26</v>
      </c>
      <c r="M367" s="4">
        <v>3</v>
      </c>
      <c r="N367" s="4" t="s">
        <v>3</v>
      </c>
      <c r="O367" s="4">
        <v>2</v>
      </c>
      <c r="P367" s="4"/>
      <c r="Q367" s="4"/>
      <c r="R367" s="4"/>
      <c r="S367" s="4"/>
      <c r="T367" s="4"/>
      <c r="U367" s="4"/>
      <c r="V367" s="4"/>
      <c r="W367" s="4">
        <v>7735.44</v>
      </c>
      <c r="X367" s="4">
        <v>1</v>
      </c>
      <c r="Y367" s="4">
        <v>7735.44</v>
      </c>
      <c r="Z367" s="4"/>
      <c r="AA367" s="4"/>
      <c r="AB367" s="4"/>
    </row>
    <row r="368" spans="1:28" x14ac:dyDescent="0.2">
      <c r="A368" s="4">
        <v>50</v>
      </c>
      <c r="B368" s="4">
        <v>0</v>
      </c>
      <c r="C368" s="4">
        <v>0</v>
      </c>
      <c r="D368" s="4">
        <v>1</v>
      </c>
      <c r="E368" s="4">
        <v>224</v>
      </c>
      <c r="F368" s="4">
        <f>ROUND(Source!AR340,O368)</f>
        <v>198298.22</v>
      </c>
      <c r="G368" s="4" t="s">
        <v>134</v>
      </c>
      <c r="H368" s="4" t="s">
        <v>135</v>
      </c>
      <c r="I368" s="4"/>
      <c r="J368" s="4"/>
      <c r="K368" s="4">
        <v>224</v>
      </c>
      <c r="L368" s="4">
        <v>27</v>
      </c>
      <c r="M368" s="4">
        <v>3</v>
      </c>
      <c r="N368" s="4" t="s">
        <v>3</v>
      </c>
      <c r="O368" s="4">
        <v>2</v>
      </c>
      <c r="P368" s="4"/>
      <c r="Q368" s="4"/>
      <c r="R368" s="4"/>
      <c r="S368" s="4"/>
      <c r="T368" s="4"/>
      <c r="U368" s="4"/>
      <c r="V368" s="4"/>
      <c r="W368" s="4">
        <v>198298.22</v>
      </c>
      <c r="X368" s="4">
        <v>1</v>
      </c>
      <c r="Y368" s="4">
        <v>198298.22</v>
      </c>
      <c r="Z368" s="4"/>
      <c r="AA368" s="4"/>
      <c r="AB368" s="4"/>
    </row>
    <row r="369" spans="1:245" x14ac:dyDescent="0.2">
      <c r="A369" s="4">
        <v>50</v>
      </c>
      <c r="B369" s="4">
        <v>1</v>
      </c>
      <c r="C369" s="4">
        <v>0</v>
      </c>
      <c r="D369" s="4">
        <v>2</v>
      </c>
      <c r="E369" s="4">
        <v>0</v>
      </c>
      <c r="F369" s="4">
        <f>ROUND(F355,O369)</f>
        <v>11000.72</v>
      </c>
      <c r="G369" s="4" t="s">
        <v>136</v>
      </c>
      <c r="H369" s="4" t="s">
        <v>108</v>
      </c>
      <c r="I369" s="4"/>
      <c r="J369" s="4"/>
      <c r="K369" s="4">
        <v>212</v>
      </c>
      <c r="L369" s="4">
        <v>28</v>
      </c>
      <c r="M369" s="4">
        <v>0</v>
      </c>
      <c r="N369" s="4" t="s">
        <v>3</v>
      </c>
      <c r="O369" s="4">
        <v>2</v>
      </c>
      <c r="P369" s="4"/>
      <c r="Q369" s="4"/>
      <c r="R369" s="4"/>
      <c r="S369" s="4"/>
      <c r="T369" s="4"/>
      <c r="U369" s="4"/>
      <c r="V369" s="4"/>
      <c r="W369" s="4">
        <v>11000.72</v>
      </c>
      <c r="X369" s="4">
        <v>1</v>
      </c>
      <c r="Y369" s="4">
        <v>11000.72</v>
      </c>
      <c r="Z369" s="4"/>
      <c r="AA369" s="4"/>
      <c r="AB369" s="4"/>
    </row>
    <row r="370" spans="1:245" x14ac:dyDescent="0.2">
      <c r="A370" s="4">
        <v>50</v>
      </c>
      <c r="B370" s="4">
        <v>1</v>
      </c>
      <c r="C370" s="4">
        <v>0</v>
      </c>
      <c r="D370" s="4">
        <v>2</v>
      </c>
      <c r="E370" s="4">
        <v>0</v>
      </c>
      <c r="F370" s="4">
        <f>ROUND(F352,O370)</f>
        <v>7953.23</v>
      </c>
      <c r="G370" s="4" t="s">
        <v>137</v>
      </c>
      <c r="H370" s="4" t="s">
        <v>138</v>
      </c>
      <c r="I370" s="4"/>
      <c r="J370" s="4"/>
      <c r="K370" s="4">
        <v>212</v>
      </c>
      <c r="L370" s="4">
        <v>29</v>
      </c>
      <c r="M370" s="4">
        <v>0</v>
      </c>
      <c r="N370" s="4" t="s">
        <v>3</v>
      </c>
      <c r="O370" s="4">
        <v>2</v>
      </c>
      <c r="P370" s="4"/>
      <c r="Q370" s="4"/>
      <c r="R370" s="4"/>
      <c r="S370" s="4"/>
      <c r="T370" s="4"/>
      <c r="U370" s="4"/>
      <c r="V370" s="4"/>
      <c r="W370" s="4">
        <v>7953.23</v>
      </c>
      <c r="X370" s="4">
        <v>1</v>
      </c>
      <c r="Y370" s="4">
        <v>7953.23</v>
      </c>
      <c r="Z370" s="4"/>
      <c r="AA370" s="4"/>
      <c r="AB370" s="4"/>
    </row>
    <row r="371" spans="1:245" x14ac:dyDescent="0.2">
      <c r="A371" s="4">
        <v>50</v>
      </c>
      <c r="B371" s="4">
        <v>1</v>
      </c>
      <c r="C371" s="4">
        <v>0</v>
      </c>
      <c r="D371" s="4">
        <v>2</v>
      </c>
      <c r="E371" s="4">
        <v>0</v>
      </c>
      <c r="F371" s="4">
        <f>ROUND(F343,O371)</f>
        <v>159294.81</v>
      </c>
      <c r="G371" s="4" t="s">
        <v>139</v>
      </c>
      <c r="H371" s="4" t="s">
        <v>140</v>
      </c>
      <c r="I371" s="4"/>
      <c r="J371" s="4"/>
      <c r="K371" s="4">
        <v>212</v>
      </c>
      <c r="L371" s="4">
        <v>30</v>
      </c>
      <c r="M371" s="4">
        <v>0</v>
      </c>
      <c r="N371" s="4" t="s">
        <v>3</v>
      </c>
      <c r="O371" s="4">
        <v>2</v>
      </c>
      <c r="P371" s="4"/>
      <c r="Q371" s="4"/>
      <c r="R371" s="4"/>
      <c r="S371" s="4"/>
      <c r="T371" s="4"/>
      <c r="U371" s="4"/>
      <c r="V371" s="4"/>
      <c r="W371" s="4">
        <v>159294.81</v>
      </c>
      <c r="X371" s="4">
        <v>1</v>
      </c>
      <c r="Y371" s="4">
        <v>159294.81</v>
      </c>
      <c r="Z371" s="4"/>
      <c r="AA371" s="4"/>
      <c r="AB371" s="4"/>
    </row>
    <row r="372" spans="1:245" x14ac:dyDescent="0.2">
      <c r="A372" s="4">
        <v>50</v>
      </c>
      <c r="B372" s="4">
        <v>1</v>
      </c>
      <c r="C372" s="4">
        <v>0</v>
      </c>
      <c r="D372" s="4">
        <v>2</v>
      </c>
      <c r="E372" s="4">
        <v>0</v>
      </c>
      <c r="F372" s="4">
        <f>ROUND(F366,O372)</f>
        <v>12314.02</v>
      </c>
      <c r="G372" s="4" t="s">
        <v>141</v>
      </c>
      <c r="H372" s="4" t="s">
        <v>130</v>
      </c>
      <c r="I372" s="4"/>
      <c r="J372" s="4"/>
      <c r="K372" s="4">
        <v>212</v>
      </c>
      <c r="L372" s="4">
        <v>31</v>
      </c>
      <c r="M372" s="4">
        <v>0</v>
      </c>
      <c r="N372" s="4" t="s">
        <v>3</v>
      </c>
      <c r="O372" s="4">
        <v>2</v>
      </c>
      <c r="P372" s="4"/>
      <c r="Q372" s="4"/>
      <c r="R372" s="4"/>
      <c r="S372" s="4"/>
      <c r="T372" s="4"/>
      <c r="U372" s="4"/>
      <c r="V372" s="4"/>
      <c r="W372" s="4">
        <v>12314.02</v>
      </c>
      <c r="X372" s="4">
        <v>1</v>
      </c>
      <c r="Y372" s="4">
        <v>12314.02</v>
      </c>
      <c r="Z372" s="4"/>
      <c r="AA372" s="4"/>
      <c r="AB372" s="4"/>
    </row>
    <row r="373" spans="1:245" x14ac:dyDescent="0.2">
      <c r="A373" s="4">
        <v>50</v>
      </c>
      <c r="B373" s="4">
        <v>1</v>
      </c>
      <c r="C373" s="4">
        <v>0</v>
      </c>
      <c r="D373" s="4">
        <v>2</v>
      </c>
      <c r="E373" s="4">
        <v>0</v>
      </c>
      <c r="F373" s="4">
        <f>ROUND(F367,O373)</f>
        <v>7735.44</v>
      </c>
      <c r="G373" s="4" t="s">
        <v>142</v>
      </c>
      <c r="H373" s="4" t="s">
        <v>143</v>
      </c>
      <c r="I373" s="4"/>
      <c r="J373" s="4"/>
      <c r="K373" s="4">
        <v>212</v>
      </c>
      <c r="L373" s="4">
        <v>32</v>
      </c>
      <c r="M373" s="4">
        <v>0</v>
      </c>
      <c r="N373" s="4" t="s">
        <v>3</v>
      </c>
      <c r="O373" s="4">
        <v>2</v>
      </c>
      <c r="P373" s="4"/>
      <c r="Q373" s="4"/>
      <c r="R373" s="4"/>
      <c r="S373" s="4"/>
      <c r="T373" s="4"/>
      <c r="U373" s="4"/>
      <c r="V373" s="4"/>
      <c r="W373" s="4">
        <v>7735.44</v>
      </c>
      <c r="X373" s="4">
        <v>1</v>
      </c>
      <c r="Y373" s="4">
        <v>7735.44</v>
      </c>
      <c r="Z373" s="4"/>
      <c r="AA373" s="4"/>
      <c r="AB373" s="4"/>
    </row>
    <row r="374" spans="1:245" x14ac:dyDescent="0.2">
      <c r="A374" s="4">
        <v>50</v>
      </c>
      <c r="B374" s="4">
        <v>1</v>
      </c>
      <c r="C374" s="4">
        <v>0</v>
      </c>
      <c r="D374" s="4">
        <v>2</v>
      </c>
      <c r="E374" s="4">
        <v>0</v>
      </c>
      <c r="F374" s="4">
        <f>ROUND(F369+F370+F371+F372+F373,O374)</f>
        <v>198298.22</v>
      </c>
      <c r="G374" s="4" t="s">
        <v>144</v>
      </c>
      <c r="H374" s="4" t="s">
        <v>134</v>
      </c>
      <c r="I374" s="4"/>
      <c r="J374" s="4"/>
      <c r="K374" s="4">
        <v>212</v>
      </c>
      <c r="L374" s="4">
        <v>33</v>
      </c>
      <c r="M374" s="4">
        <v>0</v>
      </c>
      <c r="N374" s="4" t="s">
        <v>3</v>
      </c>
      <c r="O374" s="4">
        <v>2</v>
      </c>
      <c r="P374" s="4"/>
      <c r="Q374" s="4"/>
      <c r="R374" s="4"/>
      <c r="S374" s="4"/>
      <c r="T374" s="4"/>
      <c r="U374" s="4"/>
      <c r="V374" s="4"/>
      <c r="W374" s="4">
        <v>198298.22</v>
      </c>
      <c r="X374" s="4">
        <v>1</v>
      </c>
      <c r="Y374" s="4">
        <v>198298.22</v>
      </c>
      <c r="Z374" s="4"/>
      <c r="AA374" s="4"/>
      <c r="AB374" s="4"/>
    </row>
    <row r="375" spans="1:245" x14ac:dyDescent="0.2">
      <c r="A375" s="4">
        <v>50</v>
      </c>
      <c r="B375" s="4">
        <v>1</v>
      </c>
      <c r="C375" s="4">
        <v>0</v>
      </c>
      <c r="D375" s="4">
        <v>2</v>
      </c>
      <c r="E375" s="4">
        <v>0</v>
      </c>
      <c r="F375" s="4">
        <f>ROUND(F374*0.2,O375)</f>
        <v>39659.64</v>
      </c>
      <c r="G375" s="4" t="s">
        <v>145</v>
      </c>
      <c r="H375" s="4" t="s">
        <v>146</v>
      </c>
      <c r="I375" s="4"/>
      <c r="J375" s="4"/>
      <c r="K375" s="4">
        <v>212</v>
      </c>
      <c r="L375" s="4">
        <v>34</v>
      </c>
      <c r="M375" s="4">
        <v>0</v>
      </c>
      <c r="N375" s="4" t="s">
        <v>3</v>
      </c>
      <c r="O375" s="4">
        <v>2</v>
      </c>
      <c r="P375" s="4"/>
      <c r="Q375" s="4"/>
      <c r="R375" s="4"/>
      <c r="S375" s="4"/>
      <c r="T375" s="4"/>
      <c r="U375" s="4"/>
      <c r="V375" s="4"/>
      <c r="W375" s="4">
        <v>39659.64</v>
      </c>
      <c r="X375" s="4">
        <v>1</v>
      </c>
      <c r="Y375" s="4">
        <v>39659.64</v>
      </c>
      <c r="Z375" s="4"/>
      <c r="AA375" s="4"/>
      <c r="AB375" s="4"/>
    </row>
    <row r="376" spans="1:245" x14ac:dyDescent="0.2">
      <c r="A376" s="4">
        <v>50</v>
      </c>
      <c r="B376" s="4">
        <v>1</v>
      </c>
      <c r="C376" s="4">
        <v>0</v>
      </c>
      <c r="D376" s="4">
        <v>2</v>
      </c>
      <c r="E376" s="4">
        <v>213</v>
      </c>
      <c r="F376" s="4">
        <f>ROUND(F374+F375,O376)</f>
        <v>237957.86</v>
      </c>
      <c r="G376" s="4" t="s">
        <v>147</v>
      </c>
      <c r="H376" s="4" t="s">
        <v>148</v>
      </c>
      <c r="I376" s="4"/>
      <c r="J376" s="4"/>
      <c r="K376" s="4">
        <v>212</v>
      </c>
      <c r="L376" s="4">
        <v>35</v>
      </c>
      <c r="M376" s="4">
        <v>0</v>
      </c>
      <c r="N376" s="4" t="s">
        <v>3</v>
      </c>
      <c r="O376" s="4">
        <v>2</v>
      </c>
      <c r="P376" s="4"/>
      <c r="Q376" s="4"/>
      <c r="R376" s="4"/>
      <c r="S376" s="4"/>
      <c r="T376" s="4"/>
      <c r="U376" s="4"/>
      <c r="V376" s="4"/>
      <c r="W376" s="4">
        <v>237957.86</v>
      </c>
      <c r="X376" s="4">
        <v>1</v>
      </c>
      <c r="Y376" s="4">
        <v>237957.86</v>
      </c>
      <c r="Z376" s="4"/>
      <c r="AA376" s="4"/>
      <c r="AB376" s="4"/>
    </row>
    <row r="378" spans="1:245" x14ac:dyDescent="0.2">
      <c r="A378" s="1">
        <v>4</v>
      </c>
      <c r="B378" s="1">
        <v>1</v>
      </c>
      <c r="C378" s="1"/>
      <c r="D378" s="1">
        <f>ROW(A384)</f>
        <v>384</v>
      </c>
      <c r="E378" s="1"/>
      <c r="F378" s="1" t="s">
        <v>14</v>
      </c>
      <c r="G378" s="1" t="s">
        <v>491</v>
      </c>
      <c r="H378" s="1" t="s">
        <v>3</v>
      </c>
      <c r="I378" s="1">
        <v>0</v>
      </c>
      <c r="J378" s="1"/>
      <c r="K378" s="1">
        <v>0</v>
      </c>
      <c r="L378" s="1"/>
      <c r="M378" s="1" t="s">
        <v>3</v>
      </c>
      <c r="N378" s="1"/>
      <c r="O378" s="1"/>
      <c r="P378" s="1"/>
      <c r="Q378" s="1"/>
      <c r="R378" s="1"/>
      <c r="S378" s="1">
        <v>0</v>
      </c>
      <c r="T378" s="1"/>
      <c r="U378" s="1" t="s">
        <v>3</v>
      </c>
      <c r="V378" s="1">
        <v>0</v>
      </c>
      <c r="W378" s="1"/>
      <c r="X378" s="1"/>
      <c r="Y378" s="1"/>
      <c r="Z378" s="1"/>
      <c r="AA378" s="1"/>
      <c r="AB378" s="1" t="s">
        <v>3</v>
      </c>
      <c r="AC378" s="1" t="s">
        <v>3</v>
      </c>
      <c r="AD378" s="1" t="s">
        <v>3</v>
      </c>
      <c r="AE378" s="1" t="s">
        <v>3</v>
      </c>
      <c r="AF378" s="1" t="s">
        <v>3</v>
      </c>
      <c r="AG378" s="1" t="s">
        <v>3</v>
      </c>
      <c r="AH378" s="1"/>
      <c r="AI378" s="1"/>
      <c r="AJ378" s="1"/>
      <c r="AK378" s="1"/>
      <c r="AL378" s="1"/>
      <c r="AM378" s="1"/>
      <c r="AN378" s="1"/>
      <c r="AO378" s="1"/>
      <c r="AP378" s="1" t="s">
        <v>3</v>
      </c>
      <c r="AQ378" s="1" t="s">
        <v>3</v>
      </c>
      <c r="AR378" s="1" t="s">
        <v>3</v>
      </c>
      <c r="AS378" s="1"/>
      <c r="AT378" s="1"/>
      <c r="AU378" s="1"/>
      <c r="AV378" s="1"/>
      <c r="AW378" s="1"/>
      <c r="AX378" s="1"/>
      <c r="AY378" s="1"/>
      <c r="AZ378" s="1" t="s">
        <v>3</v>
      </c>
      <c r="BA378" s="1"/>
      <c r="BB378" s="1" t="s">
        <v>3</v>
      </c>
      <c r="BC378" s="1" t="s">
        <v>3</v>
      </c>
      <c r="BD378" s="1" t="s">
        <v>3</v>
      </c>
      <c r="BE378" s="1" t="s">
        <v>3</v>
      </c>
      <c r="BF378" s="1" t="s">
        <v>3</v>
      </c>
      <c r="BG378" s="1" t="s">
        <v>3</v>
      </c>
      <c r="BH378" s="1" t="s">
        <v>3</v>
      </c>
      <c r="BI378" s="1" t="s">
        <v>3</v>
      </c>
      <c r="BJ378" s="1" t="s">
        <v>3</v>
      </c>
      <c r="BK378" s="1" t="s">
        <v>3</v>
      </c>
      <c r="BL378" s="1" t="s">
        <v>3</v>
      </c>
      <c r="BM378" s="1" t="s">
        <v>3</v>
      </c>
      <c r="BN378" s="1" t="s">
        <v>3</v>
      </c>
      <c r="BO378" s="1" t="s">
        <v>3</v>
      </c>
      <c r="BP378" s="1" t="s">
        <v>3</v>
      </c>
      <c r="BQ378" s="1"/>
      <c r="BR378" s="1"/>
      <c r="BS378" s="1"/>
      <c r="BT378" s="1"/>
      <c r="BU378" s="1"/>
      <c r="BV378" s="1"/>
      <c r="BW378" s="1"/>
      <c r="BX378" s="1">
        <v>0</v>
      </c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>
        <v>0</v>
      </c>
    </row>
    <row r="380" spans="1:245" x14ac:dyDescent="0.2">
      <c r="A380" s="2">
        <v>52</v>
      </c>
      <c r="B380" s="2">
        <f t="shared" ref="B380:G380" si="291">B384</f>
        <v>1</v>
      </c>
      <c r="C380" s="2">
        <f t="shared" si="291"/>
        <v>4</v>
      </c>
      <c r="D380" s="2">
        <f t="shared" si="291"/>
        <v>378</v>
      </c>
      <c r="E380" s="2">
        <f t="shared" si="291"/>
        <v>0</v>
      </c>
      <c r="F380" s="2" t="str">
        <f t="shared" si="291"/>
        <v>Новый раздел</v>
      </c>
      <c r="G380" s="2" t="str">
        <f t="shared" si="291"/>
        <v>Помещение</v>
      </c>
      <c r="H380" s="2"/>
      <c r="I380" s="2"/>
      <c r="J380" s="2"/>
      <c r="K380" s="2"/>
      <c r="L380" s="2"/>
      <c r="M380" s="2"/>
      <c r="N380" s="2"/>
      <c r="O380" s="2">
        <f t="shared" ref="O380:AT380" si="292">O384</f>
        <v>300000</v>
      </c>
      <c r="P380" s="2">
        <f t="shared" si="292"/>
        <v>300000</v>
      </c>
      <c r="Q380" s="2">
        <f t="shared" si="292"/>
        <v>0</v>
      </c>
      <c r="R380" s="2">
        <f t="shared" si="292"/>
        <v>0</v>
      </c>
      <c r="S380" s="2">
        <f t="shared" si="292"/>
        <v>0</v>
      </c>
      <c r="T380" s="2">
        <f t="shared" si="292"/>
        <v>0</v>
      </c>
      <c r="U380" s="2">
        <f t="shared" si="292"/>
        <v>0</v>
      </c>
      <c r="V380" s="2">
        <f t="shared" si="292"/>
        <v>0</v>
      </c>
      <c r="W380" s="2">
        <f t="shared" si="292"/>
        <v>0</v>
      </c>
      <c r="X380" s="2">
        <f t="shared" si="292"/>
        <v>0</v>
      </c>
      <c r="Y380" s="2">
        <f t="shared" si="292"/>
        <v>0</v>
      </c>
      <c r="Z380" s="2">
        <f t="shared" si="292"/>
        <v>0</v>
      </c>
      <c r="AA380" s="2">
        <f t="shared" si="292"/>
        <v>0</v>
      </c>
      <c r="AB380" s="2">
        <f t="shared" si="292"/>
        <v>300000</v>
      </c>
      <c r="AC380" s="2">
        <f t="shared" si="292"/>
        <v>300000</v>
      </c>
      <c r="AD380" s="2">
        <f t="shared" si="292"/>
        <v>0</v>
      </c>
      <c r="AE380" s="2">
        <f t="shared" si="292"/>
        <v>0</v>
      </c>
      <c r="AF380" s="2">
        <f t="shared" si="292"/>
        <v>0</v>
      </c>
      <c r="AG380" s="2">
        <f t="shared" si="292"/>
        <v>0</v>
      </c>
      <c r="AH380" s="2">
        <f t="shared" si="292"/>
        <v>0</v>
      </c>
      <c r="AI380" s="2">
        <f t="shared" si="292"/>
        <v>0</v>
      </c>
      <c r="AJ380" s="2">
        <f t="shared" si="292"/>
        <v>0</v>
      </c>
      <c r="AK380" s="2">
        <f t="shared" si="292"/>
        <v>0</v>
      </c>
      <c r="AL380" s="2">
        <f t="shared" si="292"/>
        <v>0</v>
      </c>
      <c r="AM380" s="2">
        <f t="shared" si="292"/>
        <v>0</v>
      </c>
      <c r="AN380" s="2">
        <f t="shared" si="292"/>
        <v>0</v>
      </c>
      <c r="AO380" s="2">
        <f t="shared" si="292"/>
        <v>0</v>
      </c>
      <c r="AP380" s="2">
        <f t="shared" si="292"/>
        <v>0</v>
      </c>
      <c r="AQ380" s="2">
        <f t="shared" si="292"/>
        <v>0</v>
      </c>
      <c r="AR380" s="2">
        <f t="shared" si="292"/>
        <v>300000</v>
      </c>
      <c r="AS380" s="2">
        <f t="shared" si="292"/>
        <v>300000</v>
      </c>
      <c r="AT380" s="2">
        <f t="shared" si="292"/>
        <v>0</v>
      </c>
      <c r="AU380" s="2">
        <f t="shared" ref="AU380:BZ380" si="293">AU384</f>
        <v>0</v>
      </c>
      <c r="AV380" s="2">
        <f t="shared" si="293"/>
        <v>300000</v>
      </c>
      <c r="AW380" s="2">
        <f t="shared" si="293"/>
        <v>300000</v>
      </c>
      <c r="AX380" s="2">
        <f t="shared" si="293"/>
        <v>0</v>
      </c>
      <c r="AY380" s="2">
        <f t="shared" si="293"/>
        <v>300000</v>
      </c>
      <c r="AZ380" s="2">
        <f t="shared" si="293"/>
        <v>0</v>
      </c>
      <c r="BA380" s="2">
        <f t="shared" si="293"/>
        <v>0</v>
      </c>
      <c r="BB380" s="2">
        <f t="shared" si="293"/>
        <v>0</v>
      </c>
      <c r="BC380" s="2">
        <f t="shared" si="293"/>
        <v>0</v>
      </c>
      <c r="BD380" s="2">
        <f t="shared" si="293"/>
        <v>0</v>
      </c>
      <c r="BE380" s="2">
        <f t="shared" si="293"/>
        <v>0</v>
      </c>
      <c r="BF380" s="2">
        <f t="shared" si="293"/>
        <v>0</v>
      </c>
      <c r="BG380" s="2">
        <f t="shared" si="293"/>
        <v>0</v>
      </c>
      <c r="BH380" s="2">
        <f t="shared" si="293"/>
        <v>0</v>
      </c>
      <c r="BI380" s="2">
        <f t="shared" si="293"/>
        <v>0</v>
      </c>
      <c r="BJ380" s="2">
        <f t="shared" si="293"/>
        <v>0</v>
      </c>
      <c r="BK380" s="2">
        <f t="shared" si="293"/>
        <v>0</v>
      </c>
      <c r="BL380" s="2">
        <f t="shared" si="293"/>
        <v>0</v>
      </c>
      <c r="BM380" s="2">
        <f t="shared" si="293"/>
        <v>0</v>
      </c>
      <c r="BN380" s="2">
        <f t="shared" si="293"/>
        <v>0</v>
      </c>
      <c r="BO380" s="2">
        <f t="shared" si="293"/>
        <v>0</v>
      </c>
      <c r="BP380" s="2">
        <f t="shared" si="293"/>
        <v>0</v>
      </c>
      <c r="BQ380" s="2">
        <f t="shared" si="293"/>
        <v>0</v>
      </c>
      <c r="BR380" s="2">
        <f t="shared" si="293"/>
        <v>0</v>
      </c>
      <c r="BS380" s="2">
        <f t="shared" si="293"/>
        <v>0</v>
      </c>
      <c r="BT380" s="2">
        <f t="shared" si="293"/>
        <v>0</v>
      </c>
      <c r="BU380" s="2">
        <f t="shared" si="293"/>
        <v>0</v>
      </c>
      <c r="BV380" s="2">
        <f t="shared" si="293"/>
        <v>0</v>
      </c>
      <c r="BW380" s="2">
        <f t="shared" si="293"/>
        <v>0</v>
      </c>
      <c r="BX380" s="2">
        <f t="shared" si="293"/>
        <v>0</v>
      </c>
      <c r="BY380" s="2">
        <f t="shared" si="293"/>
        <v>0</v>
      </c>
      <c r="BZ380" s="2">
        <f t="shared" si="293"/>
        <v>0</v>
      </c>
      <c r="CA380" s="2">
        <f t="shared" ref="CA380:DF380" si="294">CA384</f>
        <v>300000</v>
      </c>
      <c r="CB380" s="2">
        <f t="shared" si="294"/>
        <v>300000</v>
      </c>
      <c r="CC380" s="2">
        <f t="shared" si="294"/>
        <v>0</v>
      </c>
      <c r="CD380" s="2">
        <f t="shared" si="294"/>
        <v>0</v>
      </c>
      <c r="CE380" s="2">
        <f t="shared" si="294"/>
        <v>300000</v>
      </c>
      <c r="CF380" s="2">
        <f t="shared" si="294"/>
        <v>300000</v>
      </c>
      <c r="CG380" s="2">
        <f t="shared" si="294"/>
        <v>0</v>
      </c>
      <c r="CH380" s="2">
        <f t="shared" si="294"/>
        <v>300000</v>
      </c>
      <c r="CI380" s="2">
        <f t="shared" si="294"/>
        <v>0</v>
      </c>
      <c r="CJ380" s="2">
        <f t="shared" si="294"/>
        <v>0</v>
      </c>
      <c r="CK380" s="2">
        <f t="shared" si="294"/>
        <v>0</v>
      </c>
      <c r="CL380" s="2">
        <f t="shared" si="294"/>
        <v>0</v>
      </c>
      <c r="CM380" s="2">
        <f t="shared" si="294"/>
        <v>0</v>
      </c>
      <c r="CN380" s="2">
        <f t="shared" si="294"/>
        <v>0</v>
      </c>
      <c r="CO380" s="2">
        <f t="shared" si="294"/>
        <v>0</v>
      </c>
      <c r="CP380" s="2">
        <f t="shared" si="294"/>
        <v>0</v>
      </c>
      <c r="CQ380" s="2">
        <f t="shared" si="294"/>
        <v>0</v>
      </c>
      <c r="CR380" s="2">
        <f t="shared" si="294"/>
        <v>0</v>
      </c>
      <c r="CS380" s="2">
        <f t="shared" si="294"/>
        <v>0</v>
      </c>
      <c r="CT380" s="2">
        <f t="shared" si="294"/>
        <v>0</v>
      </c>
      <c r="CU380" s="2">
        <f t="shared" si="294"/>
        <v>0</v>
      </c>
      <c r="CV380" s="2">
        <f t="shared" si="294"/>
        <v>0</v>
      </c>
      <c r="CW380" s="2">
        <f t="shared" si="294"/>
        <v>0</v>
      </c>
      <c r="CX380" s="2">
        <f t="shared" si="294"/>
        <v>0</v>
      </c>
      <c r="CY380" s="2">
        <f t="shared" si="294"/>
        <v>0</v>
      </c>
      <c r="CZ380" s="2">
        <f t="shared" si="294"/>
        <v>0</v>
      </c>
      <c r="DA380" s="2">
        <f t="shared" si="294"/>
        <v>0</v>
      </c>
      <c r="DB380" s="2">
        <f t="shared" si="294"/>
        <v>0</v>
      </c>
      <c r="DC380" s="2">
        <f t="shared" si="294"/>
        <v>0</v>
      </c>
      <c r="DD380" s="2">
        <f t="shared" si="294"/>
        <v>0</v>
      </c>
      <c r="DE380" s="2">
        <f t="shared" si="294"/>
        <v>0</v>
      </c>
      <c r="DF380" s="2">
        <f t="shared" si="294"/>
        <v>0</v>
      </c>
      <c r="DG380" s="3">
        <f t="shared" ref="DG380:EL380" si="295">DG384</f>
        <v>0</v>
      </c>
      <c r="DH380" s="3">
        <f t="shared" si="295"/>
        <v>0</v>
      </c>
      <c r="DI380" s="3">
        <f t="shared" si="295"/>
        <v>0</v>
      </c>
      <c r="DJ380" s="3">
        <f t="shared" si="295"/>
        <v>0</v>
      </c>
      <c r="DK380" s="3">
        <f t="shared" si="295"/>
        <v>0</v>
      </c>
      <c r="DL380" s="3">
        <f t="shared" si="295"/>
        <v>0</v>
      </c>
      <c r="DM380" s="3">
        <f t="shared" si="295"/>
        <v>0</v>
      </c>
      <c r="DN380" s="3">
        <f t="shared" si="295"/>
        <v>0</v>
      </c>
      <c r="DO380" s="3">
        <f t="shared" si="295"/>
        <v>0</v>
      </c>
      <c r="DP380" s="3">
        <f t="shared" si="295"/>
        <v>0</v>
      </c>
      <c r="DQ380" s="3">
        <f t="shared" si="295"/>
        <v>0</v>
      </c>
      <c r="DR380" s="3">
        <f t="shared" si="295"/>
        <v>0</v>
      </c>
      <c r="DS380" s="3">
        <f t="shared" si="295"/>
        <v>0</v>
      </c>
      <c r="DT380" s="3">
        <f t="shared" si="295"/>
        <v>0</v>
      </c>
      <c r="DU380" s="3">
        <f t="shared" si="295"/>
        <v>0</v>
      </c>
      <c r="DV380" s="3">
        <f t="shared" si="295"/>
        <v>0</v>
      </c>
      <c r="DW380" s="3">
        <f t="shared" si="295"/>
        <v>0</v>
      </c>
      <c r="DX380" s="3">
        <f t="shared" si="295"/>
        <v>0</v>
      </c>
      <c r="DY380" s="3">
        <f t="shared" si="295"/>
        <v>0</v>
      </c>
      <c r="DZ380" s="3">
        <f t="shared" si="295"/>
        <v>0</v>
      </c>
      <c r="EA380" s="3">
        <f t="shared" si="295"/>
        <v>0</v>
      </c>
      <c r="EB380" s="3">
        <f t="shared" si="295"/>
        <v>0</v>
      </c>
      <c r="EC380" s="3">
        <f t="shared" si="295"/>
        <v>0</v>
      </c>
      <c r="ED380" s="3">
        <f t="shared" si="295"/>
        <v>0</v>
      </c>
      <c r="EE380" s="3">
        <f t="shared" si="295"/>
        <v>0</v>
      </c>
      <c r="EF380" s="3">
        <f t="shared" si="295"/>
        <v>0</v>
      </c>
      <c r="EG380" s="3">
        <f t="shared" si="295"/>
        <v>0</v>
      </c>
      <c r="EH380" s="3">
        <f t="shared" si="295"/>
        <v>0</v>
      </c>
      <c r="EI380" s="3">
        <f t="shared" si="295"/>
        <v>0</v>
      </c>
      <c r="EJ380" s="3">
        <f t="shared" si="295"/>
        <v>0</v>
      </c>
      <c r="EK380" s="3">
        <f t="shared" si="295"/>
        <v>0</v>
      </c>
      <c r="EL380" s="3">
        <f t="shared" si="295"/>
        <v>0</v>
      </c>
      <c r="EM380" s="3">
        <f t="shared" ref="EM380:FR380" si="296">EM384</f>
        <v>0</v>
      </c>
      <c r="EN380" s="3">
        <f t="shared" si="296"/>
        <v>0</v>
      </c>
      <c r="EO380" s="3">
        <f t="shared" si="296"/>
        <v>0</v>
      </c>
      <c r="EP380" s="3">
        <f t="shared" si="296"/>
        <v>0</v>
      </c>
      <c r="EQ380" s="3">
        <f t="shared" si="296"/>
        <v>0</v>
      </c>
      <c r="ER380" s="3">
        <f t="shared" si="296"/>
        <v>0</v>
      </c>
      <c r="ES380" s="3">
        <f t="shared" si="296"/>
        <v>0</v>
      </c>
      <c r="ET380" s="3">
        <f t="shared" si="296"/>
        <v>0</v>
      </c>
      <c r="EU380" s="3">
        <f t="shared" si="296"/>
        <v>0</v>
      </c>
      <c r="EV380" s="3">
        <f t="shared" si="296"/>
        <v>0</v>
      </c>
      <c r="EW380" s="3">
        <f t="shared" si="296"/>
        <v>0</v>
      </c>
      <c r="EX380" s="3">
        <f t="shared" si="296"/>
        <v>0</v>
      </c>
      <c r="EY380" s="3">
        <f t="shared" si="296"/>
        <v>0</v>
      </c>
      <c r="EZ380" s="3">
        <f t="shared" si="296"/>
        <v>0</v>
      </c>
      <c r="FA380" s="3">
        <f t="shared" si="296"/>
        <v>0</v>
      </c>
      <c r="FB380" s="3">
        <f t="shared" si="296"/>
        <v>0</v>
      </c>
      <c r="FC380" s="3">
        <f t="shared" si="296"/>
        <v>0</v>
      </c>
      <c r="FD380" s="3">
        <f t="shared" si="296"/>
        <v>0</v>
      </c>
      <c r="FE380" s="3">
        <f t="shared" si="296"/>
        <v>0</v>
      </c>
      <c r="FF380" s="3">
        <f t="shared" si="296"/>
        <v>0</v>
      </c>
      <c r="FG380" s="3">
        <f t="shared" si="296"/>
        <v>0</v>
      </c>
      <c r="FH380" s="3">
        <f t="shared" si="296"/>
        <v>0</v>
      </c>
      <c r="FI380" s="3">
        <f t="shared" si="296"/>
        <v>0</v>
      </c>
      <c r="FJ380" s="3">
        <f t="shared" si="296"/>
        <v>0</v>
      </c>
      <c r="FK380" s="3">
        <f t="shared" si="296"/>
        <v>0</v>
      </c>
      <c r="FL380" s="3">
        <f t="shared" si="296"/>
        <v>0</v>
      </c>
      <c r="FM380" s="3">
        <f t="shared" si="296"/>
        <v>0</v>
      </c>
      <c r="FN380" s="3">
        <f t="shared" si="296"/>
        <v>0</v>
      </c>
      <c r="FO380" s="3">
        <f t="shared" si="296"/>
        <v>0</v>
      </c>
      <c r="FP380" s="3">
        <f t="shared" si="296"/>
        <v>0</v>
      </c>
      <c r="FQ380" s="3">
        <f t="shared" si="296"/>
        <v>0</v>
      </c>
      <c r="FR380" s="3">
        <f t="shared" si="296"/>
        <v>0</v>
      </c>
      <c r="FS380" s="3">
        <f t="shared" ref="FS380:GX380" si="297">FS384</f>
        <v>0</v>
      </c>
      <c r="FT380" s="3">
        <f t="shared" si="297"/>
        <v>0</v>
      </c>
      <c r="FU380" s="3">
        <f t="shared" si="297"/>
        <v>0</v>
      </c>
      <c r="FV380" s="3">
        <f t="shared" si="297"/>
        <v>0</v>
      </c>
      <c r="FW380" s="3">
        <f t="shared" si="297"/>
        <v>0</v>
      </c>
      <c r="FX380" s="3">
        <f t="shared" si="297"/>
        <v>0</v>
      </c>
      <c r="FY380" s="3">
        <f t="shared" si="297"/>
        <v>0</v>
      </c>
      <c r="FZ380" s="3">
        <f t="shared" si="297"/>
        <v>0</v>
      </c>
      <c r="GA380" s="3">
        <f t="shared" si="297"/>
        <v>0</v>
      </c>
      <c r="GB380" s="3">
        <f t="shared" si="297"/>
        <v>0</v>
      </c>
      <c r="GC380" s="3">
        <f t="shared" si="297"/>
        <v>0</v>
      </c>
      <c r="GD380" s="3">
        <f t="shared" si="297"/>
        <v>0</v>
      </c>
      <c r="GE380" s="3">
        <f t="shared" si="297"/>
        <v>0</v>
      </c>
      <c r="GF380" s="3">
        <f t="shared" si="297"/>
        <v>0</v>
      </c>
      <c r="GG380" s="3">
        <f t="shared" si="297"/>
        <v>0</v>
      </c>
      <c r="GH380" s="3">
        <f t="shared" si="297"/>
        <v>0</v>
      </c>
      <c r="GI380" s="3">
        <f t="shared" si="297"/>
        <v>0</v>
      </c>
      <c r="GJ380" s="3">
        <f t="shared" si="297"/>
        <v>0</v>
      </c>
      <c r="GK380" s="3">
        <f t="shared" si="297"/>
        <v>0</v>
      </c>
      <c r="GL380" s="3">
        <f t="shared" si="297"/>
        <v>0</v>
      </c>
      <c r="GM380" s="3">
        <f t="shared" si="297"/>
        <v>0</v>
      </c>
      <c r="GN380" s="3">
        <f t="shared" si="297"/>
        <v>0</v>
      </c>
      <c r="GO380" s="3">
        <f t="shared" si="297"/>
        <v>0</v>
      </c>
      <c r="GP380" s="3">
        <f t="shared" si="297"/>
        <v>0</v>
      </c>
      <c r="GQ380" s="3">
        <f t="shared" si="297"/>
        <v>0</v>
      </c>
      <c r="GR380" s="3">
        <f t="shared" si="297"/>
        <v>0</v>
      </c>
      <c r="GS380" s="3">
        <f t="shared" si="297"/>
        <v>0</v>
      </c>
      <c r="GT380" s="3">
        <f t="shared" si="297"/>
        <v>0</v>
      </c>
      <c r="GU380" s="3">
        <f t="shared" si="297"/>
        <v>0</v>
      </c>
      <c r="GV380" s="3">
        <f t="shared" si="297"/>
        <v>0</v>
      </c>
      <c r="GW380" s="3">
        <f t="shared" si="297"/>
        <v>0</v>
      </c>
      <c r="GX380" s="3">
        <f t="shared" si="297"/>
        <v>0</v>
      </c>
    </row>
    <row r="382" spans="1:245" x14ac:dyDescent="0.2">
      <c r="A382">
        <v>17</v>
      </c>
      <c r="B382">
        <v>1</v>
      </c>
      <c r="E382" t="s">
        <v>492</v>
      </c>
      <c r="F382" t="s">
        <v>493</v>
      </c>
      <c r="G382" t="s">
        <v>494</v>
      </c>
      <c r="H382" t="s">
        <v>495</v>
      </c>
      <c r="I382">
        <v>1</v>
      </c>
      <c r="J382">
        <v>0</v>
      </c>
      <c r="K382">
        <v>1</v>
      </c>
      <c r="O382">
        <f>ROUND(CP382,2)</f>
        <v>300000</v>
      </c>
      <c r="P382">
        <f>ROUND(CQ382*I382,2)</f>
        <v>300000</v>
      </c>
      <c r="Q382">
        <f>ROUND(CR382*I382,2)</f>
        <v>0</v>
      </c>
      <c r="R382">
        <f>ROUND(CS382*I382,2)</f>
        <v>0</v>
      </c>
      <c r="S382">
        <f>ROUND(CT382*I382,2)</f>
        <v>0</v>
      </c>
      <c r="T382">
        <f>ROUND(CU382*I382,2)</f>
        <v>0</v>
      </c>
      <c r="U382">
        <f>CV382*I382</f>
        <v>0</v>
      </c>
      <c r="V382">
        <f>CW382*I382</f>
        <v>0</v>
      </c>
      <c r="W382">
        <f>ROUND(CX382*I382,2)</f>
        <v>0</v>
      </c>
      <c r="X382">
        <f>ROUND(CY382,2)</f>
        <v>0</v>
      </c>
      <c r="Y382">
        <f>ROUND(CZ382,2)</f>
        <v>0</v>
      </c>
      <c r="AA382">
        <v>94798619</v>
      </c>
      <c r="AB382">
        <f>ROUND((AC382+AD382+AF382),2)</f>
        <v>300000</v>
      </c>
      <c r="AC382">
        <f>ROUND((ES382),2)</f>
        <v>300000</v>
      </c>
      <c r="AD382">
        <f>ROUND((((ET382)-(EU382))+AE382),2)</f>
        <v>0</v>
      </c>
      <c r="AE382">
        <f>ROUND((EU382),2)</f>
        <v>0</v>
      </c>
      <c r="AF382">
        <f>ROUND((EV382),2)</f>
        <v>0</v>
      </c>
      <c r="AG382">
        <f>ROUND((AP382),2)</f>
        <v>0</v>
      </c>
      <c r="AH382">
        <f>(EW382)</f>
        <v>0</v>
      </c>
      <c r="AI382">
        <f>(EX382)</f>
        <v>0</v>
      </c>
      <c r="AJ382">
        <f>(AS382)</f>
        <v>0</v>
      </c>
      <c r="AK382">
        <v>300000</v>
      </c>
      <c r="AL382">
        <v>300000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1</v>
      </c>
      <c r="AW382">
        <v>1</v>
      </c>
      <c r="AZ382">
        <v>1</v>
      </c>
      <c r="BA382">
        <v>1</v>
      </c>
      <c r="BB382">
        <v>1</v>
      </c>
      <c r="BC382">
        <v>1</v>
      </c>
      <c r="BD382" t="s">
        <v>3</v>
      </c>
      <c r="BE382" t="s">
        <v>3</v>
      </c>
      <c r="BF382" t="s">
        <v>3</v>
      </c>
      <c r="BG382" t="s">
        <v>3</v>
      </c>
      <c r="BH382">
        <v>3</v>
      </c>
      <c r="BI382">
        <v>1</v>
      </c>
      <c r="BJ382" t="s">
        <v>3</v>
      </c>
      <c r="BM382">
        <v>1100</v>
      </c>
      <c r="BN382">
        <v>0</v>
      </c>
      <c r="BO382" t="s">
        <v>3</v>
      </c>
      <c r="BP382">
        <v>0</v>
      </c>
      <c r="BQ382">
        <v>8</v>
      </c>
      <c r="BR382">
        <v>0</v>
      </c>
      <c r="BS382">
        <v>1</v>
      </c>
      <c r="BT382">
        <v>1</v>
      </c>
      <c r="BU382">
        <v>1</v>
      </c>
      <c r="BV382">
        <v>1</v>
      </c>
      <c r="BW382">
        <v>1</v>
      </c>
      <c r="BX382">
        <v>1</v>
      </c>
      <c r="BY382" t="s">
        <v>3</v>
      </c>
      <c r="BZ382">
        <v>0</v>
      </c>
      <c r="CA382">
        <v>0</v>
      </c>
      <c r="CB382" t="s">
        <v>3</v>
      </c>
      <c r="CE382">
        <v>0</v>
      </c>
      <c r="CF382">
        <v>0</v>
      </c>
      <c r="CG382">
        <v>0</v>
      </c>
      <c r="CM382">
        <v>0</v>
      </c>
      <c r="CN382" t="s">
        <v>3</v>
      </c>
      <c r="CO382">
        <v>0</v>
      </c>
      <c r="CP382">
        <f>(P382+Q382+S382)</f>
        <v>300000</v>
      </c>
      <c r="CQ382">
        <f>AC382*BC382</f>
        <v>300000</v>
      </c>
      <c r="CR382">
        <f>(((ET382)*BB382-(EU382)*BS382)+AE382*BS382)</f>
        <v>0</v>
      </c>
      <c r="CS382">
        <f>AE382*BS382</f>
        <v>0</v>
      </c>
      <c r="CT382">
        <f>AF382*BA382</f>
        <v>0</v>
      </c>
      <c r="CU382">
        <f>AG382</f>
        <v>0</v>
      </c>
      <c r="CV382">
        <f>AH382</f>
        <v>0</v>
      </c>
      <c r="CW382">
        <f>AI382</f>
        <v>0</v>
      </c>
      <c r="CX382">
        <f>AJ382</f>
        <v>0</v>
      </c>
      <c r="CY382">
        <f>(((S382+R382)*AT382)/100)</f>
        <v>0</v>
      </c>
      <c r="CZ382">
        <f>(((S382+R382)*AU382)/100)</f>
        <v>0</v>
      </c>
      <c r="DC382" t="s">
        <v>3</v>
      </c>
      <c r="DD382" t="s">
        <v>3</v>
      </c>
      <c r="DE382" t="s">
        <v>3</v>
      </c>
      <c r="DF382" t="s">
        <v>3</v>
      </c>
      <c r="DG382" t="s">
        <v>3</v>
      </c>
      <c r="DH382" t="s">
        <v>3</v>
      </c>
      <c r="DI382" t="s">
        <v>3</v>
      </c>
      <c r="DJ382" t="s">
        <v>3</v>
      </c>
      <c r="DK382" t="s">
        <v>3</v>
      </c>
      <c r="DL382" t="s">
        <v>3</v>
      </c>
      <c r="DM382" t="s">
        <v>3</v>
      </c>
      <c r="DN382">
        <v>0</v>
      </c>
      <c r="DO382">
        <v>0</v>
      </c>
      <c r="DP382">
        <v>1</v>
      </c>
      <c r="DQ382">
        <v>1</v>
      </c>
      <c r="DU382">
        <v>1013</v>
      </c>
      <c r="DV382" t="s">
        <v>495</v>
      </c>
      <c r="DW382" t="s">
        <v>495</v>
      </c>
      <c r="DX382">
        <v>1</v>
      </c>
      <c r="DZ382" t="s">
        <v>3</v>
      </c>
      <c r="EA382" t="s">
        <v>3</v>
      </c>
      <c r="EB382" t="s">
        <v>3</v>
      </c>
      <c r="EC382" t="s">
        <v>3</v>
      </c>
      <c r="EE382">
        <v>92109578</v>
      </c>
      <c r="EF382">
        <v>8</v>
      </c>
      <c r="EG382" t="s">
        <v>154</v>
      </c>
      <c r="EH382">
        <v>0</v>
      </c>
      <c r="EI382" t="s">
        <v>3</v>
      </c>
      <c r="EJ382">
        <v>1</v>
      </c>
      <c r="EK382">
        <v>1100</v>
      </c>
      <c r="EL382" t="s">
        <v>496</v>
      </c>
      <c r="EM382" t="s">
        <v>497</v>
      </c>
      <c r="EO382" t="s">
        <v>3</v>
      </c>
      <c r="EQ382">
        <v>0</v>
      </c>
      <c r="ER382">
        <v>300000</v>
      </c>
      <c r="ES382">
        <v>300000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FQ382">
        <v>0</v>
      </c>
      <c r="FR382">
        <f>ROUND(IF(BI382=3,GM382,0),2)</f>
        <v>0</v>
      </c>
      <c r="FS382">
        <v>0</v>
      </c>
      <c r="FX382">
        <v>0</v>
      </c>
      <c r="FY382">
        <v>0</v>
      </c>
      <c r="GA382" t="s">
        <v>498</v>
      </c>
      <c r="GD382">
        <v>1</v>
      </c>
      <c r="GF382">
        <v>-1065554310</v>
      </c>
      <c r="GG382">
        <v>2</v>
      </c>
      <c r="GH382">
        <v>0</v>
      </c>
      <c r="GI382">
        <v>-2</v>
      </c>
      <c r="GJ382">
        <v>0</v>
      </c>
      <c r="GK382">
        <v>0</v>
      </c>
      <c r="GL382">
        <f>ROUND(IF(AND(BH382=3,BI382=3,FS382&lt;&gt;0),P382,0),2)</f>
        <v>0</v>
      </c>
      <c r="GM382">
        <f>ROUND(O382+X382+Y382,2)+GX382</f>
        <v>300000</v>
      </c>
      <c r="GN382">
        <f>IF(OR(BI382=0,BI382=1),GM382-GX382,0)</f>
        <v>300000</v>
      </c>
      <c r="GO382">
        <f>IF(BI382=2,GM382-GX382,0)</f>
        <v>0</v>
      </c>
      <c r="GP382">
        <f>IF(BI382=4,GM382-GX382,0)</f>
        <v>0</v>
      </c>
      <c r="GR382">
        <v>0</v>
      </c>
      <c r="GS382">
        <v>4</v>
      </c>
      <c r="GT382">
        <v>0</v>
      </c>
      <c r="GU382" t="s">
        <v>3</v>
      </c>
      <c r="GV382">
        <f>ROUND((GT382),2)</f>
        <v>0</v>
      </c>
      <c r="GW382">
        <v>1</v>
      </c>
      <c r="GX382">
        <f>ROUND(HC382*I382,2)</f>
        <v>0</v>
      </c>
      <c r="HA382">
        <v>0</v>
      </c>
      <c r="HB382">
        <v>0</v>
      </c>
      <c r="HC382">
        <f>GV382*GW382</f>
        <v>0</v>
      </c>
      <c r="HE382" t="s">
        <v>3</v>
      </c>
      <c r="HF382" t="s">
        <v>3</v>
      </c>
      <c r="HM382" t="s">
        <v>3</v>
      </c>
      <c r="HN382" t="s">
        <v>3</v>
      </c>
      <c r="HO382" t="s">
        <v>3</v>
      </c>
      <c r="HP382" t="s">
        <v>3</v>
      </c>
      <c r="HQ382" t="s">
        <v>3</v>
      </c>
      <c r="IK382">
        <v>0</v>
      </c>
    </row>
    <row r="384" spans="1:245" x14ac:dyDescent="0.2">
      <c r="A384" s="2">
        <v>51</v>
      </c>
      <c r="B384" s="2">
        <f>B378</f>
        <v>1</v>
      </c>
      <c r="C384" s="2">
        <f>A378</f>
        <v>4</v>
      </c>
      <c r="D384" s="2">
        <f>ROW(A378)</f>
        <v>378</v>
      </c>
      <c r="E384" s="2"/>
      <c r="F384" s="2" t="str">
        <f>IF(F378&lt;&gt;"",F378,"")</f>
        <v>Новый раздел</v>
      </c>
      <c r="G384" s="2" t="str">
        <f>IF(G378&lt;&gt;"",G378,"")</f>
        <v>Помещение</v>
      </c>
      <c r="H384" s="2">
        <v>0</v>
      </c>
      <c r="I384" s="2"/>
      <c r="J384" s="2"/>
      <c r="K384" s="2"/>
      <c r="L384" s="2"/>
      <c r="M384" s="2"/>
      <c r="N384" s="2"/>
      <c r="O384" s="2">
        <f t="shared" ref="O384:T384" si="298">ROUND(AB384,2)</f>
        <v>300000</v>
      </c>
      <c r="P384" s="2">
        <f t="shared" si="298"/>
        <v>300000</v>
      </c>
      <c r="Q384" s="2">
        <f t="shared" si="298"/>
        <v>0</v>
      </c>
      <c r="R384" s="2">
        <f t="shared" si="298"/>
        <v>0</v>
      </c>
      <c r="S384" s="2">
        <f t="shared" si="298"/>
        <v>0</v>
      </c>
      <c r="T384" s="2">
        <f t="shared" si="298"/>
        <v>0</v>
      </c>
      <c r="U384" s="2">
        <f>AH384</f>
        <v>0</v>
      </c>
      <c r="V384" s="2">
        <f>AI384</f>
        <v>0</v>
      </c>
      <c r="W384" s="2">
        <f>ROUND(AJ384,2)</f>
        <v>0</v>
      </c>
      <c r="X384" s="2">
        <f>ROUND(AK384,2)</f>
        <v>0</v>
      </c>
      <c r="Y384" s="2">
        <f>ROUND(AL384,2)</f>
        <v>0</v>
      </c>
      <c r="Z384" s="2"/>
      <c r="AA384" s="2"/>
      <c r="AB384" s="2">
        <f>ROUND(SUMIF(AA382:AA382,"=94798619",O382:O382),2)</f>
        <v>300000</v>
      </c>
      <c r="AC384" s="2">
        <f>ROUND(SUMIF(AA382:AA382,"=94798619",P382:P382),2)</f>
        <v>300000</v>
      </c>
      <c r="AD384" s="2">
        <f>ROUND(SUMIF(AA382:AA382,"=94798619",Q382:Q382),2)</f>
        <v>0</v>
      </c>
      <c r="AE384" s="2">
        <f>ROUND(SUMIF(AA382:AA382,"=94798619",R382:R382),2)</f>
        <v>0</v>
      </c>
      <c r="AF384" s="2">
        <f>ROUND(SUMIF(AA382:AA382,"=94798619",S382:S382),2)</f>
        <v>0</v>
      </c>
      <c r="AG384" s="2">
        <f>ROUND(SUMIF(AA382:AA382,"=94798619",T382:T382),2)</f>
        <v>0</v>
      </c>
      <c r="AH384" s="2">
        <f>SUMIF(AA382:AA382,"=94798619",U382:U382)</f>
        <v>0</v>
      </c>
      <c r="AI384" s="2">
        <f>SUMIF(AA382:AA382,"=94798619",V382:V382)</f>
        <v>0</v>
      </c>
      <c r="AJ384" s="2">
        <f>ROUND(SUMIF(AA382:AA382,"=94798619",W382:W382),2)</f>
        <v>0</v>
      </c>
      <c r="AK384" s="2">
        <f>ROUND(SUMIF(AA382:AA382,"=94798619",X382:X382),2)</f>
        <v>0</v>
      </c>
      <c r="AL384" s="2">
        <f>ROUND(SUMIF(AA382:AA382,"=94798619",Y382:Y382),2)</f>
        <v>0</v>
      </c>
      <c r="AM384" s="2"/>
      <c r="AN384" s="2"/>
      <c r="AO384" s="2">
        <f t="shared" ref="AO384:BD384" si="299">ROUND(BX384,2)</f>
        <v>0</v>
      </c>
      <c r="AP384" s="2">
        <f t="shared" si="299"/>
        <v>0</v>
      </c>
      <c r="AQ384" s="2">
        <f t="shared" si="299"/>
        <v>0</v>
      </c>
      <c r="AR384" s="2">
        <f t="shared" si="299"/>
        <v>300000</v>
      </c>
      <c r="AS384" s="2">
        <f t="shared" si="299"/>
        <v>300000</v>
      </c>
      <c r="AT384" s="2">
        <f t="shared" si="299"/>
        <v>0</v>
      </c>
      <c r="AU384" s="2">
        <f t="shared" si="299"/>
        <v>0</v>
      </c>
      <c r="AV384" s="2">
        <f t="shared" si="299"/>
        <v>300000</v>
      </c>
      <c r="AW384" s="2">
        <f t="shared" si="299"/>
        <v>300000</v>
      </c>
      <c r="AX384" s="2">
        <f t="shared" si="299"/>
        <v>0</v>
      </c>
      <c r="AY384" s="2">
        <f t="shared" si="299"/>
        <v>300000</v>
      </c>
      <c r="AZ384" s="2">
        <f t="shared" si="299"/>
        <v>0</v>
      </c>
      <c r="BA384" s="2">
        <f t="shared" si="299"/>
        <v>0</v>
      </c>
      <c r="BB384" s="2">
        <f t="shared" si="299"/>
        <v>0</v>
      </c>
      <c r="BC384" s="2">
        <f t="shared" si="299"/>
        <v>0</v>
      </c>
      <c r="BD384" s="2">
        <f t="shared" si="299"/>
        <v>0</v>
      </c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>
        <f>ROUND(SUMIF(AA382:AA382,"=94798619",FQ382:FQ382),2)</f>
        <v>0</v>
      </c>
      <c r="BY384" s="2">
        <f>ROUND(SUMIF(AA382:AA382,"=94798619",FR382:FR382),2)</f>
        <v>0</v>
      </c>
      <c r="BZ384" s="2">
        <f>ROUND(SUMIF(AA382:AA382,"=94798619",GL382:GL382),2)</f>
        <v>0</v>
      </c>
      <c r="CA384" s="2">
        <f>ROUND(SUMIF(AA382:AA382,"=94798619",GM382:GM382),2)</f>
        <v>300000</v>
      </c>
      <c r="CB384" s="2">
        <f>ROUND(SUMIF(AA382:AA382,"=94798619",GN382:GN382),2)</f>
        <v>300000</v>
      </c>
      <c r="CC384" s="2">
        <f>ROUND(SUMIF(AA382:AA382,"=94798619",GO382:GO382),2)</f>
        <v>0</v>
      </c>
      <c r="CD384" s="2">
        <f>ROUND(SUMIF(AA382:AA382,"=94798619",GP382:GP382),2)</f>
        <v>0</v>
      </c>
      <c r="CE384" s="2">
        <f>AC384-BX384</f>
        <v>300000</v>
      </c>
      <c r="CF384" s="2">
        <f>AC384-BY384</f>
        <v>300000</v>
      </c>
      <c r="CG384" s="2">
        <f>BX384-BZ384</f>
        <v>0</v>
      </c>
      <c r="CH384" s="2">
        <f>AC384-BX384-BY384+BZ384</f>
        <v>300000</v>
      </c>
      <c r="CI384" s="2">
        <f>BY384-BZ384</f>
        <v>0</v>
      </c>
      <c r="CJ384" s="2">
        <f>ROUND(SUMIF(AA382:AA382,"=94798619",GX382:GX382),2)</f>
        <v>0</v>
      </c>
      <c r="CK384" s="2">
        <f>ROUND(SUMIF(AA382:AA382,"=94798619",GY382:GY382),2)</f>
        <v>0</v>
      </c>
      <c r="CL384" s="2">
        <f>ROUND(SUMIF(AA382:AA382,"=94798619",GZ382:GZ382),2)</f>
        <v>0</v>
      </c>
      <c r="CM384" s="2">
        <f>ROUND(SUMIF(AA382:AA382,"=94798619",HD382:HD382),2)</f>
        <v>0</v>
      </c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>
        <v>0</v>
      </c>
    </row>
    <row r="386" spans="1:28" x14ac:dyDescent="0.2">
      <c r="A386" s="4">
        <v>50</v>
      </c>
      <c r="B386" s="4">
        <v>0</v>
      </c>
      <c r="C386" s="4">
        <v>0</v>
      </c>
      <c r="D386" s="4">
        <v>1</v>
      </c>
      <c r="E386" s="4">
        <v>201</v>
      </c>
      <c r="F386" s="4">
        <f>ROUND(Source!O384,O386)</f>
        <v>300000</v>
      </c>
      <c r="G386" s="4" t="s">
        <v>82</v>
      </c>
      <c r="H386" s="4" t="s">
        <v>83</v>
      </c>
      <c r="I386" s="4"/>
      <c r="J386" s="4"/>
      <c r="K386" s="4">
        <v>201</v>
      </c>
      <c r="L386" s="4">
        <v>1</v>
      </c>
      <c r="M386" s="4">
        <v>3</v>
      </c>
      <c r="N386" s="4" t="s">
        <v>3</v>
      </c>
      <c r="O386" s="4">
        <v>2</v>
      </c>
      <c r="P386" s="4"/>
      <c r="Q386" s="4"/>
      <c r="R386" s="4"/>
      <c r="S386" s="4"/>
      <c r="T386" s="4"/>
      <c r="U386" s="4"/>
      <c r="V386" s="4"/>
      <c r="W386" s="4">
        <v>300000</v>
      </c>
      <c r="X386" s="4">
        <v>1</v>
      </c>
      <c r="Y386" s="4">
        <v>300000</v>
      </c>
      <c r="Z386" s="4"/>
      <c r="AA386" s="4"/>
      <c r="AB386" s="4"/>
    </row>
    <row r="387" spans="1:28" x14ac:dyDescent="0.2">
      <c r="A387" s="4">
        <v>50</v>
      </c>
      <c r="B387" s="4">
        <v>0</v>
      </c>
      <c r="C387" s="4">
        <v>0</v>
      </c>
      <c r="D387" s="4">
        <v>1</v>
      </c>
      <c r="E387" s="4">
        <v>202</v>
      </c>
      <c r="F387" s="4">
        <f>ROUND(Source!P384,O387)</f>
        <v>300000</v>
      </c>
      <c r="G387" s="4" t="s">
        <v>84</v>
      </c>
      <c r="H387" s="4" t="s">
        <v>85</v>
      </c>
      <c r="I387" s="4"/>
      <c r="J387" s="4"/>
      <c r="K387" s="4">
        <v>202</v>
      </c>
      <c r="L387" s="4">
        <v>2</v>
      </c>
      <c r="M387" s="4">
        <v>3</v>
      </c>
      <c r="N387" s="4" t="s">
        <v>3</v>
      </c>
      <c r="O387" s="4">
        <v>2</v>
      </c>
      <c r="P387" s="4"/>
      <c r="Q387" s="4"/>
      <c r="R387" s="4"/>
      <c r="S387" s="4"/>
      <c r="T387" s="4"/>
      <c r="U387" s="4"/>
      <c r="V387" s="4"/>
      <c r="W387" s="4">
        <v>300000</v>
      </c>
      <c r="X387" s="4">
        <v>1</v>
      </c>
      <c r="Y387" s="4">
        <v>300000</v>
      </c>
      <c r="Z387" s="4"/>
      <c r="AA387" s="4"/>
      <c r="AB387" s="4"/>
    </row>
    <row r="388" spans="1:28" x14ac:dyDescent="0.2">
      <c r="A388" s="4">
        <v>50</v>
      </c>
      <c r="B388" s="4">
        <v>0</v>
      </c>
      <c r="C388" s="4">
        <v>0</v>
      </c>
      <c r="D388" s="4">
        <v>1</v>
      </c>
      <c r="E388" s="4">
        <v>222</v>
      </c>
      <c r="F388" s="4">
        <f>ROUND(Source!AO384,O388)</f>
        <v>0</v>
      </c>
      <c r="G388" s="4" t="s">
        <v>86</v>
      </c>
      <c r="H388" s="4" t="s">
        <v>87</v>
      </c>
      <c r="I388" s="4"/>
      <c r="J388" s="4"/>
      <c r="K388" s="4">
        <v>222</v>
      </c>
      <c r="L388" s="4">
        <v>3</v>
      </c>
      <c r="M388" s="4">
        <v>3</v>
      </c>
      <c r="N388" s="4" t="s">
        <v>3</v>
      </c>
      <c r="O388" s="4">
        <v>2</v>
      </c>
      <c r="P388" s="4"/>
      <c r="Q388" s="4"/>
      <c r="R388" s="4"/>
      <c r="S388" s="4"/>
      <c r="T388" s="4"/>
      <c r="U388" s="4"/>
      <c r="V388" s="4"/>
      <c r="W388" s="4">
        <v>0</v>
      </c>
      <c r="X388" s="4">
        <v>1</v>
      </c>
      <c r="Y388" s="4">
        <v>0</v>
      </c>
      <c r="Z388" s="4"/>
      <c r="AA388" s="4"/>
      <c r="AB388" s="4"/>
    </row>
    <row r="389" spans="1:28" x14ac:dyDescent="0.2">
      <c r="A389" s="4">
        <v>50</v>
      </c>
      <c r="B389" s="4">
        <v>0</v>
      </c>
      <c r="C389" s="4">
        <v>0</v>
      </c>
      <c r="D389" s="4">
        <v>1</v>
      </c>
      <c r="E389" s="4">
        <v>225</v>
      </c>
      <c r="F389" s="4">
        <f>ROUND(Source!AV384,O389)</f>
        <v>300000</v>
      </c>
      <c r="G389" s="4" t="s">
        <v>88</v>
      </c>
      <c r="H389" s="4" t="s">
        <v>89</v>
      </c>
      <c r="I389" s="4"/>
      <c r="J389" s="4"/>
      <c r="K389" s="4">
        <v>225</v>
      </c>
      <c r="L389" s="4">
        <v>4</v>
      </c>
      <c r="M389" s="4">
        <v>3</v>
      </c>
      <c r="N389" s="4" t="s">
        <v>3</v>
      </c>
      <c r="O389" s="4">
        <v>2</v>
      </c>
      <c r="P389" s="4"/>
      <c r="Q389" s="4"/>
      <c r="R389" s="4"/>
      <c r="S389" s="4"/>
      <c r="T389" s="4"/>
      <c r="U389" s="4"/>
      <c r="V389" s="4"/>
      <c r="W389" s="4">
        <v>300000</v>
      </c>
      <c r="X389" s="4">
        <v>1</v>
      </c>
      <c r="Y389" s="4">
        <v>300000</v>
      </c>
      <c r="Z389" s="4"/>
      <c r="AA389" s="4"/>
      <c r="AB389" s="4"/>
    </row>
    <row r="390" spans="1:28" x14ac:dyDescent="0.2">
      <c r="A390" s="4">
        <v>50</v>
      </c>
      <c r="B390" s="4">
        <v>0</v>
      </c>
      <c r="C390" s="4">
        <v>0</v>
      </c>
      <c r="D390" s="4">
        <v>1</v>
      </c>
      <c r="E390" s="4">
        <v>226</v>
      </c>
      <c r="F390" s="4">
        <f>ROUND(Source!AW384,O390)</f>
        <v>300000</v>
      </c>
      <c r="G390" s="4" t="s">
        <v>90</v>
      </c>
      <c r="H390" s="4" t="s">
        <v>91</v>
      </c>
      <c r="I390" s="4"/>
      <c r="J390" s="4"/>
      <c r="K390" s="4">
        <v>226</v>
      </c>
      <c r="L390" s="4">
        <v>5</v>
      </c>
      <c r="M390" s="4">
        <v>3</v>
      </c>
      <c r="N390" s="4" t="s">
        <v>3</v>
      </c>
      <c r="O390" s="4">
        <v>2</v>
      </c>
      <c r="P390" s="4"/>
      <c r="Q390" s="4"/>
      <c r="R390" s="4"/>
      <c r="S390" s="4"/>
      <c r="T390" s="4"/>
      <c r="U390" s="4"/>
      <c r="V390" s="4"/>
      <c r="W390" s="4">
        <v>300000</v>
      </c>
      <c r="X390" s="4">
        <v>1</v>
      </c>
      <c r="Y390" s="4">
        <v>300000</v>
      </c>
      <c r="Z390" s="4"/>
      <c r="AA390" s="4"/>
      <c r="AB390" s="4"/>
    </row>
    <row r="391" spans="1:28" x14ac:dyDescent="0.2">
      <c r="A391" s="4">
        <v>50</v>
      </c>
      <c r="B391" s="4">
        <v>0</v>
      </c>
      <c r="C391" s="4">
        <v>0</v>
      </c>
      <c r="D391" s="4">
        <v>1</v>
      </c>
      <c r="E391" s="4">
        <v>227</v>
      </c>
      <c r="F391" s="4">
        <f>ROUND(Source!AX384,O391)</f>
        <v>0</v>
      </c>
      <c r="G391" s="4" t="s">
        <v>92</v>
      </c>
      <c r="H391" s="4" t="s">
        <v>93</v>
      </c>
      <c r="I391" s="4"/>
      <c r="J391" s="4"/>
      <c r="K391" s="4">
        <v>227</v>
      </c>
      <c r="L391" s="4">
        <v>6</v>
      </c>
      <c r="M391" s="4">
        <v>3</v>
      </c>
      <c r="N391" s="4" t="s">
        <v>3</v>
      </c>
      <c r="O391" s="4">
        <v>2</v>
      </c>
      <c r="P391" s="4"/>
      <c r="Q391" s="4"/>
      <c r="R391" s="4"/>
      <c r="S391" s="4"/>
      <c r="T391" s="4"/>
      <c r="U391" s="4"/>
      <c r="V391" s="4"/>
      <c r="W391" s="4">
        <v>0</v>
      </c>
      <c r="X391" s="4">
        <v>1</v>
      </c>
      <c r="Y391" s="4">
        <v>0</v>
      </c>
      <c r="Z391" s="4"/>
      <c r="AA391" s="4"/>
      <c r="AB391" s="4"/>
    </row>
    <row r="392" spans="1:28" x14ac:dyDescent="0.2">
      <c r="A392" s="4">
        <v>50</v>
      </c>
      <c r="B392" s="4">
        <v>0</v>
      </c>
      <c r="C392" s="4">
        <v>0</v>
      </c>
      <c r="D392" s="4">
        <v>1</v>
      </c>
      <c r="E392" s="4">
        <v>228</v>
      </c>
      <c r="F392" s="4">
        <f>ROUND(Source!AY384,O392)</f>
        <v>300000</v>
      </c>
      <c r="G392" s="4" t="s">
        <v>94</v>
      </c>
      <c r="H392" s="4" t="s">
        <v>95</v>
      </c>
      <c r="I392" s="4"/>
      <c r="J392" s="4"/>
      <c r="K392" s="4">
        <v>228</v>
      </c>
      <c r="L392" s="4">
        <v>7</v>
      </c>
      <c r="M392" s="4">
        <v>3</v>
      </c>
      <c r="N392" s="4" t="s">
        <v>3</v>
      </c>
      <c r="O392" s="4">
        <v>2</v>
      </c>
      <c r="P392" s="4"/>
      <c r="Q392" s="4"/>
      <c r="R392" s="4"/>
      <c r="S392" s="4"/>
      <c r="T392" s="4"/>
      <c r="U392" s="4"/>
      <c r="V392" s="4"/>
      <c r="W392" s="4">
        <v>300000</v>
      </c>
      <c r="X392" s="4">
        <v>1</v>
      </c>
      <c r="Y392" s="4">
        <v>300000</v>
      </c>
      <c r="Z392" s="4"/>
      <c r="AA392" s="4"/>
      <c r="AB392" s="4"/>
    </row>
    <row r="393" spans="1:28" x14ac:dyDescent="0.2">
      <c r="A393" s="4">
        <v>50</v>
      </c>
      <c r="B393" s="4">
        <v>0</v>
      </c>
      <c r="C393" s="4">
        <v>0</v>
      </c>
      <c r="D393" s="4">
        <v>1</v>
      </c>
      <c r="E393" s="4">
        <v>216</v>
      </c>
      <c r="F393" s="4">
        <f>ROUND(Source!AP384,O393)</f>
        <v>0</v>
      </c>
      <c r="G393" s="4" t="s">
        <v>96</v>
      </c>
      <c r="H393" s="4" t="s">
        <v>97</v>
      </c>
      <c r="I393" s="4"/>
      <c r="J393" s="4"/>
      <c r="K393" s="4">
        <v>216</v>
      </c>
      <c r="L393" s="4">
        <v>8</v>
      </c>
      <c r="M393" s="4">
        <v>3</v>
      </c>
      <c r="N393" s="4" t="s">
        <v>3</v>
      </c>
      <c r="O393" s="4">
        <v>2</v>
      </c>
      <c r="P393" s="4"/>
      <c r="Q393" s="4"/>
      <c r="R393" s="4"/>
      <c r="S393" s="4"/>
      <c r="T393" s="4"/>
      <c r="U393" s="4"/>
      <c r="V393" s="4"/>
      <c r="W393" s="4">
        <v>0</v>
      </c>
      <c r="X393" s="4">
        <v>1</v>
      </c>
      <c r="Y393" s="4">
        <v>0</v>
      </c>
      <c r="Z393" s="4"/>
      <c r="AA393" s="4"/>
      <c r="AB393" s="4"/>
    </row>
    <row r="394" spans="1:28" x14ac:dyDescent="0.2">
      <c r="A394" s="4">
        <v>50</v>
      </c>
      <c r="B394" s="4">
        <v>0</v>
      </c>
      <c r="C394" s="4">
        <v>0</v>
      </c>
      <c r="D394" s="4">
        <v>1</v>
      </c>
      <c r="E394" s="4">
        <v>223</v>
      </c>
      <c r="F394" s="4">
        <f>ROUND(Source!AQ384,O394)</f>
        <v>0</v>
      </c>
      <c r="G394" s="4" t="s">
        <v>98</v>
      </c>
      <c r="H394" s="4" t="s">
        <v>99</v>
      </c>
      <c r="I394" s="4"/>
      <c r="J394" s="4"/>
      <c r="K394" s="4">
        <v>223</v>
      </c>
      <c r="L394" s="4">
        <v>9</v>
      </c>
      <c r="M394" s="4">
        <v>3</v>
      </c>
      <c r="N394" s="4" t="s">
        <v>3</v>
      </c>
      <c r="O394" s="4">
        <v>2</v>
      </c>
      <c r="P394" s="4"/>
      <c r="Q394" s="4"/>
      <c r="R394" s="4"/>
      <c r="S394" s="4"/>
      <c r="T394" s="4"/>
      <c r="U394" s="4"/>
      <c r="V394" s="4"/>
      <c r="W394" s="4">
        <v>0</v>
      </c>
      <c r="X394" s="4">
        <v>1</v>
      </c>
      <c r="Y394" s="4">
        <v>0</v>
      </c>
      <c r="Z394" s="4"/>
      <c r="AA394" s="4"/>
      <c r="AB394" s="4"/>
    </row>
    <row r="395" spans="1:28" x14ac:dyDescent="0.2">
      <c r="A395" s="4">
        <v>50</v>
      </c>
      <c r="B395" s="4">
        <v>0</v>
      </c>
      <c r="C395" s="4">
        <v>0</v>
      </c>
      <c r="D395" s="4">
        <v>1</v>
      </c>
      <c r="E395" s="4">
        <v>229</v>
      </c>
      <c r="F395" s="4">
        <f>ROUND(Source!AZ384,O395)</f>
        <v>0</v>
      </c>
      <c r="G395" s="4" t="s">
        <v>100</v>
      </c>
      <c r="H395" s="4" t="s">
        <v>101</v>
      </c>
      <c r="I395" s="4"/>
      <c r="J395" s="4"/>
      <c r="K395" s="4">
        <v>229</v>
      </c>
      <c r="L395" s="4">
        <v>10</v>
      </c>
      <c r="M395" s="4">
        <v>3</v>
      </c>
      <c r="N395" s="4" t="s">
        <v>3</v>
      </c>
      <c r="O395" s="4">
        <v>2</v>
      </c>
      <c r="P395" s="4"/>
      <c r="Q395" s="4"/>
      <c r="R395" s="4"/>
      <c r="S395" s="4"/>
      <c r="T395" s="4"/>
      <c r="U395" s="4"/>
      <c r="V395" s="4"/>
      <c r="W395" s="4">
        <v>0</v>
      </c>
      <c r="X395" s="4">
        <v>1</v>
      </c>
      <c r="Y395" s="4">
        <v>0</v>
      </c>
      <c r="Z395" s="4"/>
      <c r="AA395" s="4"/>
      <c r="AB395" s="4"/>
    </row>
    <row r="396" spans="1:28" x14ac:dyDescent="0.2">
      <c r="A396" s="4">
        <v>50</v>
      </c>
      <c r="B396" s="4">
        <v>0</v>
      </c>
      <c r="C396" s="4">
        <v>0</v>
      </c>
      <c r="D396" s="4">
        <v>1</v>
      </c>
      <c r="E396" s="4">
        <v>203</v>
      </c>
      <c r="F396" s="4">
        <f>ROUND(Source!Q384,O396)</f>
        <v>0</v>
      </c>
      <c r="G396" s="4" t="s">
        <v>102</v>
      </c>
      <c r="H396" s="4" t="s">
        <v>103</v>
      </c>
      <c r="I396" s="4"/>
      <c r="J396" s="4"/>
      <c r="K396" s="4">
        <v>203</v>
      </c>
      <c r="L396" s="4">
        <v>11</v>
      </c>
      <c r="M396" s="4">
        <v>3</v>
      </c>
      <c r="N396" s="4" t="s">
        <v>3</v>
      </c>
      <c r="O396" s="4">
        <v>2</v>
      </c>
      <c r="P396" s="4"/>
      <c r="Q396" s="4"/>
      <c r="R396" s="4"/>
      <c r="S396" s="4"/>
      <c r="T396" s="4"/>
      <c r="U396" s="4"/>
      <c r="V396" s="4"/>
      <c r="W396" s="4">
        <v>0</v>
      </c>
      <c r="X396" s="4">
        <v>1</v>
      </c>
      <c r="Y396" s="4">
        <v>0</v>
      </c>
      <c r="Z396" s="4"/>
      <c r="AA396" s="4"/>
      <c r="AB396" s="4"/>
    </row>
    <row r="397" spans="1:28" x14ac:dyDescent="0.2">
      <c r="A397" s="4">
        <v>50</v>
      </c>
      <c r="B397" s="4">
        <v>0</v>
      </c>
      <c r="C397" s="4">
        <v>0</v>
      </c>
      <c r="D397" s="4">
        <v>1</v>
      </c>
      <c r="E397" s="4">
        <v>231</v>
      </c>
      <c r="F397" s="4">
        <f>ROUND(Source!BB384,O397)</f>
        <v>0</v>
      </c>
      <c r="G397" s="4" t="s">
        <v>104</v>
      </c>
      <c r="H397" s="4" t="s">
        <v>105</v>
      </c>
      <c r="I397" s="4"/>
      <c r="J397" s="4"/>
      <c r="K397" s="4">
        <v>231</v>
      </c>
      <c r="L397" s="4">
        <v>12</v>
      </c>
      <c r="M397" s="4">
        <v>3</v>
      </c>
      <c r="N397" s="4" t="s">
        <v>3</v>
      </c>
      <c r="O397" s="4">
        <v>2</v>
      </c>
      <c r="P397" s="4"/>
      <c r="Q397" s="4"/>
      <c r="R397" s="4"/>
      <c r="S397" s="4"/>
      <c r="T397" s="4"/>
      <c r="U397" s="4"/>
      <c r="V397" s="4"/>
      <c r="W397" s="4">
        <v>0</v>
      </c>
      <c r="X397" s="4">
        <v>1</v>
      </c>
      <c r="Y397" s="4">
        <v>0</v>
      </c>
      <c r="Z397" s="4"/>
      <c r="AA397" s="4"/>
      <c r="AB397" s="4"/>
    </row>
    <row r="398" spans="1:28" x14ac:dyDescent="0.2">
      <c r="A398" s="4">
        <v>50</v>
      </c>
      <c r="B398" s="4">
        <v>0</v>
      </c>
      <c r="C398" s="4">
        <v>0</v>
      </c>
      <c r="D398" s="4">
        <v>1</v>
      </c>
      <c r="E398" s="4">
        <v>204</v>
      </c>
      <c r="F398" s="4">
        <f>ROUND(Source!R384,O398)</f>
        <v>0</v>
      </c>
      <c r="G398" s="4" t="s">
        <v>106</v>
      </c>
      <c r="H398" s="4" t="s">
        <v>107</v>
      </c>
      <c r="I398" s="4"/>
      <c r="J398" s="4"/>
      <c r="K398" s="4">
        <v>204</v>
      </c>
      <c r="L398" s="4">
        <v>13</v>
      </c>
      <c r="M398" s="4">
        <v>3</v>
      </c>
      <c r="N398" s="4" t="s">
        <v>3</v>
      </c>
      <c r="O398" s="4">
        <v>2</v>
      </c>
      <c r="P398" s="4"/>
      <c r="Q398" s="4"/>
      <c r="R398" s="4"/>
      <c r="S398" s="4"/>
      <c r="T398" s="4"/>
      <c r="U398" s="4"/>
      <c r="V398" s="4"/>
      <c r="W398" s="4">
        <v>0</v>
      </c>
      <c r="X398" s="4">
        <v>1</v>
      </c>
      <c r="Y398" s="4">
        <v>0</v>
      </c>
      <c r="Z398" s="4"/>
      <c r="AA398" s="4"/>
      <c r="AB398" s="4"/>
    </row>
    <row r="399" spans="1:28" x14ac:dyDescent="0.2">
      <c r="A399" s="4">
        <v>50</v>
      </c>
      <c r="B399" s="4">
        <v>0</v>
      </c>
      <c r="C399" s="4">
        <v>0</v>
      </c>
      <c r="D399" s="4">
        <v>1</v>
      </c>
      <c r="E399" s="4">
        <v>205</v>
      </c>
      <c r="F399" s="4">
        <f>ROUND(Source!S384,O399)</f>
        <v>0</v>
      </c>
      <c r="G399" s="4" t="s">
        <v>108</v>
      </c>
      <c r="H399" s="4" t="s">
        <v>109</v>
      </c>
      <c r="I399" s="4"/>
      <c r="J399" s="4"/>
      <c r="K399" s="4">
        <v>205</v>
      </c>
      <c r="L399" s="4">
        <v>14</v>
      </c>
      <c r="M399" s="4">
        <v>3</v>
      </c>
      <c r="N399" s="4" t="s">
        <v>3</v>
      </c>
      <c r="O399" s="4">
        <v>2</v>
      </c>
      <c r="P399" s="4"/>
      <c r="Q399" s="4"/>
      <c r="R399" s="4"/>
      <c r="S399" s="4"/>
      <c r="T399" s="4"/>
      <c r="U399" s="4"/>
      <c r="V399" s="4"/>
      <c r="W399" s="4">
        <v>0</v>
      </c>
      <c r="X399" s="4">
        <v>1</v>
      </c>
      <c r="Y399" s="4">
        <v>0</v>
      </c>
      <c r="Z399" s="4"/>
      <c r="AA399" s="4"/>
      <c r="AB399" s="4"/>
    </row>
    <row r="400" spans="1:28" x14ac:dyDescent="0.2">
      <c r="A400" s="4">
        <v>50</v>
      </c>
      <c r="B400" s="4">
        <v>0</v>
      </c>
      <c r="C400" s="4">
        <v>0</v>
      </c>
      <c r="D400" s="4">
        <v>1</v>
      </c>
      <c r="E400" s="4">
        <v>232</v>
      </c>
      <c r="F400" s="4">
        <f>ROUND(Source!BC384,O400)</f>
        <v>0</v>
      </c>
      <c r="G400" s="4" t="s">
        <v>110</v>
      </c>
      <c r="H400" s="4" t="s">
        <v>111</v>
      </c>
      <c r="I400" s="4"/>
      <c r="J400" s="4"/>
      <c r="K400" s="4">
        <v>232</v>
      </c>
      <c r="L400" s="4">
        <v>15</v>
      </c>
      <c r="M400" s="4">
        <v>3</v>
      </c>
      <c r="N400" s="4" t="s">
        <v>3</v>
      </c>
      <c r="O400" s="4">
        <v>2</v>
      </c>
      <c r="P400" s="4"/>
      <c r="Q400" s="4"/>
      <c r="R400" s="4"/>
      <c r="S400" s="4"/>
      <c r="T400" s="4"/>
      <c r="U400" s="4"/>
      <c r="V400" s="4"/>
      <c r="W400" s="4">
        <v>0</v>
      </c>
      <c r="X400" s="4">
        <v>1</v>
      </c>
      <c r="Y400" s="4">
        <v>0</v>
      </c>
      <c r="Z400" s="4"/>
      <c r="AA400" s="4"/>
      <c r="AB400" s="4"/>
    </row>
    <row r="401" spans="1:28" x14ac:dyDescent="0.2">
      <c r="A401" s="4">
        <v>50</v>
      </c>
      <c r="B401" s="4">
        <v>0</v>
      </c>
      <c r="C401" s="4">
        <v>0</v>
      </c>
      <c r="D401" s="4">
        <v>1</v>
      </c>
      <c r="E401" s="4">
        <v>214</v>
      </c>
      <c r="F401" s="4">
        <f>ROUND(Source!AS384,O401)</f>
        <v>300000</v>
      </c>
      <c r="G401" s="4" t="s">
        <v>112</v>
      </c>
      <c r="H401" s="4" t="s">
        <v>113</v>
      </c>
      <c r="I401" s="4"/>
      <c r="J401" s="4"/>
      <c r="K401" s="4">
        <v>214</v>
      </c>
      <c r="L401" s="4">
        <v>16</v>
      </c>
      <c r="M401" s="4">
        <v>3</v>
      </c>
      <c r="N401" s="4" t="s">
        <v>3</v>
      </c>
      <c r="O401" s="4">
        <v>2</v>
      </c>
      <c r="P401" s="4"/>
      <c r="Q401" s="4"/>
      <c r="R401" s="4"/>
      <c r="S401" s="4"/>
      <c r="T401" s="4"/>
      <c r="U401" s="4"/>
      <c r="V401" s="4"/>
      <c r="W401" s="4">
        <v>300000</v>
      </c>
      <c r="X401" s="4">
        <v>1</v>
      </c>
      <c r="Y401" s="4">
        <v>300000</v>
      </c>
      <c r="Z401" s="4"/>
      <c r="AA401" s="4"/>
      <c r="AB401" s="4"/>
    </row>
    <row r="402" spans="1:28" x14ac:dyDescent="0.2">
      <c r="A402" s="4">
        <v>50</v>
      </c>
      <c r="B402" s="4">
        <v>0</v>
      </c>
      <c r="C402" s="4">
        <v>0</v>
      </c>
      <c r="D402" s="4">
        <v>1</v>
      </c>
      <c r="E402" s="4">
        <v>215</v>
      </c>
      <c r="F402" s="4">
        <f>ROUND(Source!AT384,O402)</f>
        <v>0</v>
      </c>
      <c r="G402" s="4" t="s">
        <v>114</v>
      </c>
      <c r="H402" s="4" t="s">
        <v>115</v>
      </c>
      <c r="I402" s="4"/>
      <c r="J402" s="4"/>
      <c r="K402" s="4">
        <v>215</v>
      </c>
      <c r="L402" s="4">
        <v>17</v>
      </c>
      <c r="M402" s="4">
        <v>3</v>
      </c>
      <c r="N402" s="4" t="s">
        <v>3</v>
      </c>
      <c r="O402" s="4">
        <v>2</v>
      </c>
      <c r="P402" s="4"/>
      <c r="Q402" s="4"/>
      <c r="R402" s="4"/>
      <c r="S402" s="4"/>
      <c r="T402" s="4"/>
      <c r="U402" s="4"/>
      <c r="V402" s="4"/>
      <c r="W402" s="4">
        <v>0</v>
      </c>
      <c r="X402" s="4">
        <v>1</v>
      </c>
      <c r="Y402" s="4">
        <v>0</v>
      </c>
      <c r="Z402" s="4"/>
      <c r="AA402" s="4"/>
      <c r="AB402" s="4"/>
    </row>
    <row r="403" spans="1:28" x14ac:dyDescent="0.2">
      <c r="A403" s="4">
        <v>50</v>
      </c>
      <c r="B403" s="4">
        <v>0</v>
      </c>
      <c r="C403" s="4">
        <v>0</v>
      </c>
      <c r="D403" s="4">
        <v>1</v>
      </c>
      <c r="E403" s="4">
        <v>217</v>
      </c>
      <c r="F403" s="4">
        <f>ROUND(Source!AU384,O403)</f>
        <v>0</v>
      </c>
      <c r="G403" s="4" t="s">
        <v>116</v>
      </c>
      <c r="H403" s="4" t="s">
        <v>117</v>
      </c>
      <c r="I403" s="4"/>
      <c r="J403" s="4"/>
      <c r="K403" s="4">
        <v>217</v>
      </c>
      <c r="L403" s="4">
        <v>18</v>
      </c>
      <c r="M403" s="4">
        <v>3</v>
      </c>
      <c r="N403" s="4" t="s">
        <v>3</v>
      </c>
      <c r="O403" s="4">
        <v>2</v>
      </c>
      <c r="P403" s="4"/>
      <c r="Q403" s="4"/>
      <c r="R403" s="4"/>
      <c r="S403" s="4"/>
      <c r="T403" s="4"/>
      <c r="U403" s="4"/>
      <c r="V403" s="4"/>
      <c r="W403" s="4">
        <v>0</v>
      </c>
      <c r="X403" s="4">
        <v>1</v>
      </c>
      <c r="Y403" s="4">
        <v>0</v>
      </c>
      <c r="Z403" s="4"/>
      <c r="AA403" s="4"/>
      <c r="AB403" s="4"/>
    </row>
    <row r="404" spans="1:28" x14ac:dyDescent="0.2">
      <c r="A404" s="4">
        <v>50</v>
      </c>
      <c r="B404" s="4">
        <v>0</v>
      </c>
      <c r="C404" s="4">
        <v>0</v>
      </c>
      <c r="D404" s="4">
        <v>1</v>
      </c>
      <c r="E404" s="4">
        <v>230</v>
      </c>
      <c r="F404" s="4">
        <f>ROUND(Source!BA384,O404)</f>
        <v>0</v>
      </c>
      <c r="G404" s="4" t="s">
        <v>118</v>
      </c>
      <c r="H404" s="4" t="s">
        <v>119</v>
      </c>
      <c r="I404" s="4"/>
      <c r="J404" s="4"/>
      <c r="K404" s="4">
        <v>230</v>
      </c>
      <c r="L404" s="4">
        <v>19</v>
      </c>
      <c r="M404" s="4">
        <v>3</v>
      </c>
      <c r="N404" s="4" t="s">
        <v>3</v>
      </c>
      <c r="O404" s="4">
        <v>2</v>
      </c>
      <c r="P404" s="4"/>
      <c r="Q404" s="4"/>
      <c r="R404" s="4"/>
      <c r="S404" s="4"/>
      <c r="T404" s="4"/>
      <c r="U404" s="4"/>
      <c r="V404" s="4"/>
      <c r="W404" s="4">
        <v>0</v>
      </c>
      <c r="X404" s="4">
        <v>1</v>
      </c>
      <c r="Y404" s="4">
        <v>0</v>
      </c>
      <c r="Z404" s="4"/>
      <c r="AA404" s="4"/>
      <c r="AB404" s="4"/>
    </row>
    <row r="405" spans="1:28" x14ac:dyDescent="0.2">
      <c r="A405" s="4">
        <v>50</v>
      </c>
      <c r="B405" s="4">
        <v>0</v>
      </c>
      <c r="C405" s="4">
        <v>0</v>
      </c>
      <c r="D405" s="4">
        <v>1</v>
      </c>
      <c r="E405" s="4">
        <v>206</v>
      </c>
      <c r="F405" s="4">
        <f>ROUND(Source!T384,O405)</f>
        <v>0</v>
      </c>
      <c r="G405" s="4" t="s">
        <v>120</v>
      </c>
      <c r="H405" s="4" t="s">
        <v>121</v>
      </c>
      <c r="I405" s="4"/>
      <c r="J405" s="4"/>
      <c r="K405" s="4">
        <v>206</v>
      </c>
      <c r="L405" s="4">
        <v>20</v>
      </c>
      <c r="M405" s="4">
        <v>3</v>
      </c>
      <c r="N405" s="4" t="s">
        <v>3</v>
      </c>
      <c r="O405" s="4">
        <v>2</v>
      </c>
      <c r="P405" s="4"/>
      <c r="Q405" s="4"/>
      <c r="R405" s="4"/>
      <c r="S405" s="4"/>
      <c r="T405" s="4"/>
      <c r="U405" s="4"/>
      <c r="V405" s="4"/>
      <c r="W405" s="4">
        <v>0</v>
      </c>
      <c r="X405" s="4">
        <v>1</v>
      </c>
      <c r="Y405" s="4">
        <v>0</v>
      </c>
      <c r="Z405" s="4"/>
      <c r="AA405" s="4"/>
      <c r="AB405" s="4"/>
    </row>
    <row r="406" spans="1:28" x14ac:dyDescent="0.2">
      <c r="A406" s="4">
        <v>50</v>
      </c>
      <c r="B406" s="4">
        <v>0</v>
      </c>
      <c r="C406" s="4">
        <v>0</v>
      </c>
      <c r="D406" s="4">
        <v>1</v>
      </c>
      <c r="E406" s="4">
        <v>207</v>
      </c>
      <c r="F406" s="4">
        <f>Source!U384</f>
        <v>0</v>
      </c>
      <c r="G406" s="4" t="s">
        <v>122</v>
      </c>
      <c r="H406" s="4" t="s">
        <v>123</v>
      </c>
      <c r="I406" s="4"/>
      <c r="J406" s="4"/>
      <c r="K406" s="4">
        <v>207</v>
      </c>
      <c r="L406" s="4">
        <v>21</v>
      </c>
      <c r="M406" s="4">
        <v>3</v>
      </c>
      <c r="N406" s="4" t="s">
        <v>3</v>
      </c>
      <c r="O406" s="4">
        <v>-1</v>
      </c>
      <c r="P406" s="4"/>
      <c r="Q406" s="4"/>
      <c r="R406" s="4"/>
      <c r="S406" s="4"/>
      <c r="T406" s="4"/>
      <c r="U406" s="4"/>
      <c r="V406" s="4"/>
      <c r="W406" s="4">
        <v>0</v>
      </c>
      <c r="X406" s="4">
        <v>1</v>
      </c>
      <c r="Y406" s="4">
        <v>0</v>
      </c>
      <c r="Z406" s="4"/>
      <c r="AA406" s="4"/>
      <c r="AB406" s="4"/>
    </row>
    <row r="407" spans="1:28" x14ac:dyDescent="0.2">
      <c r="A407" s="4">
        <v>50</v>
      </c>
      <c r="B407" s="4">
        <v>0</v>
      </c>
      <c r="C407" s="4">
        <v>0</v>
      </c>
      <c r="D407" s="4">
        <v>1</v>
      </c>
      <c r="E407" s="4">
        <v>208</v>
      </c>
      <c r="F407" s="4">
        <f>Source!V384</f>
        <v>0</v>
      </c>
      <c r="G407" s="4" t="s">
        <v>124</v>
      </c>
      <c r="H407" s="4" t="s">
        <v>125</v>
      </c>
      <c r="I407" s="4"/>
      <c r="J407" s="4"/>
      <c r="K407" s="4">
        <v>208</v>
      </c>
      <c r="L407" s="4">
        <v>22</v>
      </c>
      <c r="M407" s="4">
        <v>3</v>
      </c>
      <c r="N407" s="4" t="s">
        <v>3</v>
      </c>
      <c r="O407" s="4">
        <v>-1</v>
      </c>
      <c r="P407" s="4"/>
      <c r="Q407" s="4"/>
      <c r="R407" s="4"/>
      <c r="S407" s="4"/>
      <c r="T407" s="4"/>
      <c r="U407" s="4"/>
      <c r="V407" s="4"/>
      <c r="W407" s="4">
        <v>0</v>
      </c>
      <c r="X407" s="4">
        <v>1</v>
      </c>
      <c r="Y407" s="4">
        <v>0</v>
      </c>
      <c r="Z407" s="4"/>
      <c r="AA407" s="4"/>
      <c r="AB407" s="4"/>
    </row>
    <row r="408" spans="1:28" x14ac:dyDescent="0.2">
      <c r="A408" s="4">
        <v>50</v>
      </c>
      <c r="B408" s="4">
        <v>0</v>
      </c>
      <c r="C408" s="4">
        <v>0</v>
      </c>
      <c r="D408" s="4">
        <v>1</v>
      </c>
      <c r="E408" s="4">
        <v>209</v>
      </c>
      <c r="F408" s="4">
        <f>ROUND(Source!W384,O408)</f>
        <v>0</v>
      </c>
      <c r="G408" s="4" t="s">
        <v>126</v>
      </c>
      <c r="H408" s="4" t="s">
        <v>127</v>
      </c>
      <c r="I408" s="4"/>
      <c r="J408" s="4"/>
      <c r="K408" s="4">
        <v>209</v>
      </c>
      <c r="L408" s="4">
        <v>23</v>
      </c>
      <c r="M408" s="4">
        <v>3</v>
      </c>
      <c r="N408" s="4" t="s">
        <v>3</v>
      </c>
      <c r="O408" s="4">
        <v>2</v>
      </c>
      <c r="P408" s="4"/>
      <c r="Q408" s="4"/>
      <c r="R408" s="4"/>
      <c r="S408" s="4"/>
      <c r="T408" s="4"/>
      <c r="U408" s="4"/>
      <c r="V408" s="4"/>
      <c r="W408" s="4">
        <v>0</v>
      </c>
      <c r="X408" s="4">
        <v>1</v>
      </c>
      <c r="Y408" s="4">
        <v>0</v>
      </c>
      <c r="Z408" s="4"/>
      <c r="AA408" s="4"/>
      <c r="AB408" s="4"/>
    </row>
    <row r="409" spans="1:28" x14ac:dyDescent="0.2">
      <c r="A409" s="4">
        <v>50</v>
      </c>
      <c r="B409" s="4">
        <v>0</v>
      </c>
      <c r="C409" s="4">
        <v>0</v>
      </c>
      <c r="D409" s="4">
        <v>1</v>
      </c>
      <c r="E409" s="4">
        <v>233</v>
      </c>
      <c r="F409" s="4">
        <f>ROUND(Source!BD384,O409)</f>
        <v>0</v>
      </c>
      <c r="G409" s="4" t="s">
        <v>128</v>
      </c>
      <c r="H409" s="4" t="s">
        <v>129</v>
      </c>
      <c r="I409" s="4"/>
      <c r="J409" s="4"/>
      <c r="K409" s="4">
        <v>233</v>
      </c>
      <c r="L409" s="4">
        <v>24</v>
      </c>
      <c r="M409" s="4">
        <v>3</v>
      </c>
      <c r="N409" s="4" t="s">
        <v>3</v>
      </c>
      <c r="O409" s="4">
        <v>2</v>
      </c>
      <c r="P409" s="4"/>
      <c r="Q409" s="4"/>
      <c r="R409" s="4"/>
      <c r="S409" s="4"/>
      <c r="T409" s="4"/>
      <c r="U409" s="4"/>
      <c r="V409" s="4"/>
      <c r="W409" s="4">
        <v>0</v>
      </c>
      <c r="X409" s="4">
        <v>1</v>
      </c>
      <c r="Y409" s="4">
        <v>0</v>
      </c>
      <c r="Z409" s="4"/>
      <c r="AA409" s="4"/>
      <c r="AB409" s="4"/>
    </row>
    <row r="410" spans="1:28" x14ac:dyDescent="0.2">
      <c r="A410" s="4">
        <v>50</v>
      </c>
      <c r="B410" s="4">
        <v>0</v>
      </c>
      <c r="C410" s="4">
        <v>0</v>
      </c>
      <c r="D410" s="4">
        <v>1</v>
      </c>
      <c r="E410" s="4">
        <v>210</v>
      </c>
      <c r="F410" s="4">
        <f>ROUND(Source!X384,O410)</f>
        <v>0</v>
      </c>
      <c r="G410" s="4" t="s">
        <v>130</v>
      </c>
      <c r="H410" s="4" t="s">
        <v>131</v>
      </c>
      <c r="I410" s="4"/>
      <c r="J410" s="4"/>
      <c r="K410" s="4">
        <v>210</v>
      </c>
      <c r="L410" s="4">
        <v>25</v>
      </c>
      <c r="M410" s="4">
        <v>3</v>
      </c>
      <c r="N410" s="4" t="s">
        <v>3</v>
      </c>
      <c r="O410" s="4">
        <v>2</v>
      </c>
      <c r="P410" s="4"/>
      <c r="Q410" s="4"/>
      <c r="R410" s="4"/>
      <c r="S410" s="4"/>
      <c r="T410" s="4"/>
      <c r="U410" s="4"/>
      <c r="V410" s="4"/>
      <c r="W410" s="4">
        <v>0</v>
      </c>
      <c r="X410" s="4">
        <v>1</v>
      </c>
      <c r="Y410" s="4">
        <v>0</v>
      </c>
      <c r="Z410" s="4"/>
      <c r="AA410" s="4"/>
      <c r="AB410" s="4"/>
    </row>
    <row r="411" spans="1:28" x14ac:dyDescent="0.2">
      <c r="A411" s="4">
        <v>50</v>
      </c>
      <c r="B411" s="4">
        <v>0</v>
      </c>
      <c r="C411" s="4">
        <v>0</v>
      </c>
      <c r="D411" s="4">
        <v>1</v>
      </c>
      <c r="E411" s="4">
        <v>211</v>
      </c>
      <c r="F411" s="4">
        <f>ROUND(Source!Y384,O411)</f>
        <v>0</v>
      </c>
      <c r="G411" s="4" t="s">
        <v>132</v>
      </c>
      <c r="H411" s="4" t="s">
        <v>133</v>
      </c>
      <c r="I411" s="4"/>
      <c r="J411" s="4"/>
      <c r="K411" s="4">
        <v>211</v>
      </c>
      <c r="L411" s="4">
        <v>26</v>
      </c>
      <c r="M411" s="4">
        <v>3</v>
      </c>
      <c r="N411" s="4" t="s">
        <v>3</v>
      </c>
      <c r="O411" s="4">
        <v>2</v>
      </c>
      <c r="P411" s="4"/>
      <c r="Q411" s="4"/>
      <c r="R411" s="4"/>
      <c r="S411" s="4"/>
      <c r="T411" s="4"/>
      <c r="U411" s="4"/>
      <c r="V411" s="4"/>
      <c r="W411" s="4">
        <v>0</v>
      </c>
      <c r="X411" s="4">
        <v>1</v>
      </c>
      <c r="Y411" s="4">
        <v>0</v>
      </c>
      <c r="Z411" s="4"/>
      <c r="AA411" s="4"/>
      <c r="AB411" s="4"/>
    </row>
    <row r="412" spans="1:28" x14ac:dyDescent="0.2">
      <c r="A412" s="4">
        <v>50</v>
      </c>
      <c r="B412" s="4">
        <v>0</v>
      </c>
      <c r="C412" s="4">
        <v>0</v>
      </c>
      <c r="D412" s="4">
        <v>1</v>
      </c>
      <c r="E412" s="4">
        <v>224</v>
      </c>
      <c r="F412" s="4">
        <f>ROUND(Source!AR384,O412)</f>
        <v>300000</v>
      </c>
      <c r="G412" s="4" t="s">
        <v>134</v>
      </c>
      <c r="H412" s="4" t="s">
        <v>135</v>
      </c>
      <c r="I412" s="4"/>
      <c r="J412" s="4"/>
      <c r="K412" s="4">
        <v>224</v>
      </c>
      <c r="L412" s="4">
        <v>27</v>
      </c>
      <c r="M412" s="4">
        <v>3</v>
      </c>
      <c r="N412" s="4" t="s">
        <v>3</v>
      </c>
      <c r="O412" s="4">
        <v>2</v>
      </c>
      <c r="P412" s="4"/>
      <c r="Q412" s="4"/>
      <c r="R412" s="4"/>
      <c r="S412" s="4"/>
      <c r="T412" s="4"/>
      <c r="U412" s="4"/>
      <c r="V412" s="4"/>
      <c r="W412" s="4">
        <v>300000</v>
      </c>
      <c r="X412" s="4">
        <v>1</v>
      </c>
      <c r="Y412" s="4">
        <v>300000</v>
      </c>
      <c r="Z412" s="4"/>
      <c r="AA412" s="4"/>
      <c r="AB412" s="4"/>
    </row>
    <row r="413" spans="1:28" x14ac:dyDescent="0.2">
      <c r="A413" s="4">
        <v>50</v>
      </c>
      <c r="B413" s="4">
        <v>1</v>
      </c>
      <c r="C413" s="4">
        <v>0</v>
      </c>
      <c r="D413" s="4">
        <v>2</v>
      </c>
      <c r="E413" s="4">
        <v>0</v>
      </c>
      <c r="F413" s="4">
        <f>ROUND(F399,O413)</f>
        <v>0</v>
      </c>
      <c r="G413" s="4" t="s">
        <v>136</v>
      </c>
      <c r="H413" s="4" t="s">
        <v>108</v>
      </c>
      <c r="I413" s="4"/>
      <c r="J413" s="4"/>
      <c r="K413" s="4">
        <v>212</v>
      </c>
      <c r="L413" s="4">
        <v>28</v>
      </c>
      <c r="M413" s="4">
        <v>0</v>
      </c>
      <c r="N413" s="4" t="s">
        <v>3</v>
      </c>
      <c r="O413" s="4">
        <v>2</v>
      </c>
      <c r="P413" s="4"/>
      <c r="Q413" s="4"/>
      <c r="R413" s="4"/>
      <c r="S413" s="4"/>
      <c r="T413" s="4"/>
      <c r="U413" s="4"/>
      <c r="V413" s="4"/>
      <c r="W413" s="4">
        <v>0</v>
      </c>
      <c r="X413" s="4">
        <v>1</v>
      </c>
      <c r="Y413" s="4">
        <v>0</v>
      </c>
      <c r="Z413" s="4"/>
      <c r="AA413" s="4"/>
      <c r="AB413" s="4"/>
    </row>
    <row r="414" spans="1:28" x14ac:dyDescent="0.2">
      <c r="A414" s="4">
        <v>50</v>
      </c>
      <c r="B414" s="4">
        <v>1</v>
      </c>
      <c r="C414" s="4">
        <v>0</v>
      </c>
      <c r="D414" s="4">
        <v>2</v>
      </c>
      <c r="E414" s="4">
        <v>0</v>
      </c>
      <c r="F414" s="4">
        <f>ROUND(F396,O414)</f>
        <v>0</v>
      </c>
      <c r="G414" s="4" t="s">
        <v>137</v>
      </c>
      <c r="H414" s="4" t="s">
        <v>138</v>
      </c>
      <c r="I414" s="4"/>
      <c r="J414" s="4"/>
      <c r="K414" s="4">
        <v>212</v>
      </c>
      <c r="L414" s="4">
        <v>29</v>
      </c>
      <c r="M414" s="4">
        <v>0</v>
      </c>
      <c r="N414" s="4" t="s">
        <v>3</v>
      </c>
      <c r="O414" s="4">
        <v>2</v>
      </c>
      <c r="P414" s="4"/>
      <c r="Q414" s="4"/>
      <c r="R414" s="4"/>
      <c r="S414" s="4"/>
      <c r="T414" s="4"/>
      <c r="U414" s="4"/>
      <c r="V414" s="4"/>
      <c r="W414" s="4">
        <v>0</v>
      </c>
      <c r="X414" s="4">
        <v>1</v>
      </c>
      <c r="Y414" s="4">
        <v>0</v>
      </c>
      <c r="Z414" s="4"/>
      <c r="AA414" s="4"/>
      <c r="AB414" s="4"/>
    </row>
    <row r="415" spans="1:28" x14ac:dyDescent="0.2">
      <c r="A415" s="4">
        <v>50</v>
      </c>
      <c r="B415" s="4">
        <v>1</v>
      </c>
      <c r="C415" s="4">
        <v>0</v>
      </c>
      <c r="D415" s="4">
        <v>2</v>
      </c>
      <c r="E415" s="4">
        <v>0</v>
      </c>
      <c r="F415" s="4">
        <f>ROUND(F387,O415)</f>
        <v>300000</v>
      </c>
      <c r="G415" s="4" t="s">
        <v>139</v>
      </c>
      <c r="H415" s="4" t="s">
        <v>140</v>
      </c>
      <c r="I415" s="4"/>
      <c r="J415" s="4"/>
      <c r="K415" s="4">
        <v>212</v>
      </c>
      <c r="L415" s="4">
        <v>30</v>
      </c>
      <c r="M415" s="4">
        <v>0</v>
      </c>
      <c r="N415" s="4" t="s">
        <v>3</v>
      </c>
      <c r="O415" s="4">
        <v>2</v>
      </c>
      <c r="P415" s="4"/>
      <c r="Q415" s="4"/>
      <c r="R415" s="4"/>
      <c r="S415" s="4"/>
      <c r="T415" s="4"/>
      <c r="U415" s="4"/>
      <c r="V415" s="4"/>
      <c r="W415" s="4">
        <v>300000</v>
      </c>
      <c r="X415" s="4">
        <v>1</v>
      </c>
      <c r="Y415" s="4">
        <v>300000</v>
      </c>
      <c r="Z415" s="4"/>
      <c r="AA415" s="4"/>
      <c r="AB415" s="4"/>
    </row>
    <row r="416" spans="1:28" x14ac:dyDescent="0.2">
      <c r="A416" s="4">
        <v>50</v>
      </c>
      <c r="B416" s="4">
        <v>1</v>
      </c>
      <c r="C416" s="4">
        <v>0</v>
      </c>
      <c r="D416" s="4">
        <v>2</v>
      </c>
      <c r="E416" s="4">
        <v>0</v>
      </c>
      <c r="F416" s="4">
        <f>ROUND(F410,O416)</f>
        <v>0</v>
      </c>
      <c r="G416" s="4" t="s">
        <v>141</v>
      </c>
      <c r="H416" s="4" t="s">
        <v>130</v>
      </c>
      <c r="I416" s="4"/>
      <c r="J416" s="4"/>
      <c r="K416" s="4">
        <v>212</v>
      </c>
      <c r="L416" s="4">
        <v>31</v>
      </c>
      <c r="M416" s="4">
        <v>0</v>
      </c>
      <c r="N416" s="4" t="s">
        <v>3</v>
      </c>
      <c r="O416" s="4">
        <v>2</v>
      </c>
      <c r="P416" s="4"/>
      <c r="Q416" s="4"/>
      <c r="R416" s="4"/>
      <c r="S416" s="4"/>
      <c r="T416" s="4"/>
      <c r="U416" s="4"/>
      <c r="V416" s="4"/>
      <c r="W416" s="4">
        <v>0</v>
      </c>
      <c r="X416" s="4">
        <v>1</v>
      </c>
      <c r="Y416" s="4">
        <v>0</v>
      </c>
      <c r="Z416" s="4"/>
      <c r="AA416" s="4"/>
      <c r="AB416" s="4"/>
    </row>
    <row r="417" spans="1:245" x14ac:dyDescent="0.2">
      <c r="A417" s="4">
        <v>50</v>
      </c>
      <c r="B417" s="4">
        <v>1</v>
      </c>
      <c r="C417" s="4">
        <v>0</v>
      </c>
      <c r="D417" s="4">
        <v>2</v>
      </c>
      <c r="E417" s="4">
        <v>0</v>
      </c>
      <c r="F417" s="4">
        <f>ROUND(F411,O417)</f>
        <v>0</v>
      </c>
      <c r="G417" s="4" t="s">
        <v>142</v>
      </c>
      <c r="H417" s="4" t="s">
        <v>143</v>
      </c>
      <c r="I417" s="4"/>
      <c r="J417" s="4"/>
      <c r="K417" s="4">
        <v>212</v>
      </c>
      <c r="L417" s="4">
        <v>32</v>
      </c>
      <c r="M417" s="4">
        <v>0</v>
      </c>
      <c r="N417" s="4" t="s">
        <v>3</v>
      </c>
      <c r="O417" s="4">
        <v>2</v>
      </c>
      <c r="P417" s="4"/>
      <c r="Q417" s="4"/>
      <c r="R417" s="4"/>
      <c r="S417" s="4"/>
      <c r="T417" s="4"/>
      <c r="U417" s="4"/>
      <c r="V417" s="4"/>
      <c r="W417" s="4">
        <v>0</v>
      </c>
      <c r="X417" s="4">
        <v>1</v>
      </c>
      <c r="Y417" s="4">
        <v>0</v>
      </c>
      <c r="Z417" s="4"/>
      <c r="AA417" s="4"/>
      <c r="AB417" s="4"/>
    </row>
    <row r="418" spans="1:245" x14ac:dyDescent="0.2">
      <c r="A418" s="4">
        <v>50</v>
      </c>
      <c r="B418" s="4">
        <v>1</v>
      </c>
      <c r="C418" s="4">
        <v>0</v>
      </c>
      <c r="D418" s="4">
        <v>2</v>
      </c>
      <c r="E418" s="4">
        <v>0</v>
      </c>
      <c r="F418" s="4">
        <f>ROUND(F413+F414+F415+F416+F417,O418)</f>
        <v>300000</v>
      </c>
      <c r="G418" s="4" t="s">
        <v>144</v>
      </c>
      <c r="H418" s="4" t="s">
        <v>134</v>
      </c>
      <c r="I418" s="4"/>
      <c r="J418" s="4"/>
      <c r="K418" s="4">
        <v>212</v>
      </c>
      <c r="L418" s="4">
        <v>33</v>
      </c>
      <c r="M418" s="4">
        <v>0</v>
      </c>
      <c r="N418" s="4" t="s">
        <v>3</v>
      </c>
      <c r="O418" s="4">
        <v>2</v>
      </c>
      <c r="P418" s="4"/>
      <c r="Q418" s="4"/>
      <c r="R418" s="4"/>
      <c r="S418" s="4"/>
      <c r="T418" s="4"/>
      <c r="U418" s="4"/>
      <c r="V418" s="4"/>
      <c r="W418" s="4">
        <v>300000</v>
      </c>
      <c r="X418" s="4">
        <v>1</v>
      </c>
      <c r="Y418" s="4">
        <v>300000</v>
      </c>
      <c r="Z418" s="4"/>
      <c r="AA418" s="4"/>
      <c r="AB418" s="4"/>
    </row>
    <row r="419" spans="1:245" x14ac:dyDescent="0.2">
      <c r="A419" s="4">
        <v>50</v>
      </c>
      <c r="B419" s="4">
        <v>1</v>
      </c>
      <c r="C419" s="4">
        <v>0</v>
      </c>
      <c r="D419" s="4">
        <v>2</v>
      </c>
      <c r="E419" s="4">
        <v>0</v>
      </c>
      <c r="F419" s="4">
        <f>ROUND(F418*0.2,O419)</f>
        <v>60000</v>
      </c>
      <c r="G419" s="4" t="s">
        <v>145</v>
      </c>
      <c r="H419" s="4" t="s">
        <v>146</v>
      </c>
      <c r="I419" s="4"/>
      <c r="J419" s="4"/>
      <c r="K419" s="4">
        <v>212</v>
      </c>
      <c r="L419" s="4">
        <v>34</v>
      </c>
      <c r="M419" s="4">
        <v>0</v>
      </c>
      <c r="N419" s="4" t="s">
        <v>3</v>
      </c>
      <c r="O419" s="4">
        <v>2</v>
      </c>
      <c r="P419" s="4"/>
      <c r="Q419" s="4"/>
      <c r="R419" s="4"/>
      <c r="S419" s="4"/>
      <c r="T419" s="4"/>
      <c r="U419" s="4"/>
      <c r="V419" s="4"/>
      <c r="W419" s="4">
        <v>60000</v>
      </c>
      <c r="X419" s="4">
        <v>1</v>
      </c>
      <c r="Y419" s="4">
        <v>60000</v>
      </c>
      <c r="Z419" s="4"/>
      <c r="AA419" s="4"/>
      <c r="AB419" s="4"/>
    </row>
    <row r="420" spans="1:245" x14ac:dyDescent="0.2">
      <c r="A420" s="4">
        <v>50</v>
      </c>
      <c r="B420" s="4">
        <v>1</v>
      </c>
      <c r="C420" s="4">
        <v>0</v>
      </c>
      <c r="D420" s="4">
        <v>2</v>
      </c>
      <c r="E420" s="4">
        <v>213</v>
      </c>
      <c r="F420" s="4">
        <f>ROUND(F418+F419,O420)</f>
        <v>360000</v>
      </c>
      <c r="G420" s="4" t="s">
        <v>147</v>
      </c>
      <c r="H420" s="4" t="s">
        <v>148</v>
      </c>
      <c r="I420" s="4"/>
      <c r="J420" s="4"/>
      <c r="K420" s="4">
        <v>212</v>
      </c>
      <c r="L420" s="4">
        <v>35</v>
      </c>
      <c r="M420" s="4">
        <v>0</v>
      </c>
      <c r="N420" s="4" t="s">
        <v>3</v>
      </c>
      <c r="O420" s="4">
        <v>2</v>
      </c>
      <c r="P420" s="4"/>
      <c r="Q420" s="4"/>
      <c r="R420" s="4"/>
      <c r="S420" s="4"/>
      <c r="T420" s="4"/>
      <c r="U420" s="4"/>
      <c r="V420" s="4"/>
      <c r="W420" s="4">
        <v>360000</v>
      </c>
      <c r="X420" s="4">
        <v>1</v>
      </c>
      <c r="Y420" s="4">
        <v>360000</v>
      </c>
      <c r="Z420" s="4"/>
      <c r="AA420" s="4"/>
      <c r="AB420" s="4"/>
    </row>
    <row r="422" spans="1:245" x14ac:dyDescent="0.2">
      <c r="A422" s="1">
        <v>4</v>
      </c>
      <c r="B422" s="1">
        <v>1</v>
      </c>
      <c r="C422" s="1"/>
      <c r="D422" s="1">
        <f>ROW(A438)</f>
        <v>438</v>
      </c>
      <c r="E422" s="1"/>
      <c r="F422" s="1" t="s">
        <v>14</v>
      </c>
      <c r="G422" s="1" t="s">
        <v>499</v>
      </c>
      <c r="H422" s="1" t="s">
        <v>3</v>
      </c>
      <c r="I422" s="1">
        <v>0</v>
      </c>
      <c r="J422" s="1"/>
      <c r="K422" s="1">
        <v>0</v>
      </c>
      <c r="L422" s="1"/>
      <c r="M422" s="1" t="s">
        <v>3</v>
      </c>
      <c r="N422" s="1"/>
      <c r="O422" s="1"/>
      <c r="P422" s="1"/>
      <c r="Q422" s="1"/>
      <c r="R422" s="1"/>
      <c r="S422" s="1">
        <v>0</v>
      </c>
      <c r="T422" s="1"/>
      <c r="U422" s="1" t="s">
        <v>3</v>
      </c>
      <c r="V422" s="1">
        <v>0</v>
      </c>
      <c r="W422" s="1"/>
      <c r="X422" s="1"/>
      <c r="Y422" s="1"/>
      <c r="Z422" s="1"/>
      <c r="AA422" s="1"/>
      <c r="AB422" s="1" t="s">
        <v>3</v>
      </c>
      <c r="AC422" s="1" t="s">
        <v>3</v>
      </c>
      <c r="AD422" s="1" t="s">
        <v>3</v>
      </c>
      <c r="AE422" s="1" t="s">
        <v>3</v>
      </c>
      <c r="AF422" s="1" t="s">
        <v>3</v>
      </c>
      <c r="AG422" s="1" t="s">
        <v>3</v>
      </c>
      <c r="AH422" s="1"/>
      <c r="AI422" s="1"/>
      <c r="AJ422" s="1"/>
      <c r="AK422" s="1"/>
      <c r="AL422" s="1"/>
      <c r="AM422" s="1"/>
      <c r="AN422" s="1"/>
      <c r="AO422" s="1"/>
      <c r="AP422" s="1" t="s">
        <v>3</v>
      </c>
      <c r="AQ422" s="1" t="s">
        <v>3</v>
      </c>
      <c r="AR422" s="1" t="s">
        <v>3</v>
      </c>
      <c r="AS422" s="1"/>
      <c r="AT422" s="1"/>
      <c r="AU422" s="1"/>
      <c r="AV422" s="1"/>
      <c r="AW422" s="1"/>
      <c r="AX422" s="1"/>
      <c r="AY422" s="1"/>
      <c r="AZ422" s="1" t="s">
        <v>3</v>
      </c>
      <c r="BA422" s="1"/>
      <c r="BB422" s="1" t="s">
        <v>3</v>
      </c>
      <c r="BC422" s="1" t="s">
        <v>3</v>
      </c>
      <c r="BD422" s="1" t="s">
        <v>3</v>
      </c>
      <c r="BE422" s="1" t="s">
        <v>3</v>
      </c>
      <c r="BF422" s="1" t="s">
        <v>3</v>
      </c>
      <c r="BG422" s="1" t="s">
        <v>3</v>
      </c>
      <c r="BH422" s="1" t="s">
        <v>3</v>
      </c>
      <c r="BI422" s="1" t="s">
        <v>3</v>
      </c>
      <c r="BJ422" s="1" t="s">
        <v>3</v>
      </c>
      <c r="BK422" s="1" t="s">
        <v>3</v>
      </c>
      <c r="BL422" s="1" t="s">
        <v>3</v>
      </c>
      <c r="BM422" s="1" t="s">
        <v>3</v>
      </c>
      <c r="BN422" s="1" t="s">
        <v>3</v>
      </c>
      <c r="BO422" s="1" t="s">
        <v>3</v>
      </c>
      <c r="BP422" s="1" t="s">
        <v>3</v>
      </c>
      <c r="BQ422" s="1"/>
      <c r="BR422" s="1"/>
      <c r="BS422" s="1"/>
      <c r="BT422" s="1"/>
      <c r="BU422" s="1"/>
      <c r="BV422" s="1"/>
      <c r="BW422" s="1"/>
      <c r="BX422" s="1">
        <v>0</v>
      </c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>
        <v>0</v>
      </c>
    </row>
    <row r="424" spans="1:245" x14ac:dyDescent="0.2">
      <c r="A424" s="2">
        <v>52</v>
      </c>
      <c r="B424" s="2">
        <f t="shared" ref="B424:G424" si="300">B438</f>
        <v>1</v>
      </c>
      <c r="C424" s="2">
        <f t="shared" si="300"/>
        <v>4</v>
      </c>
      <c r="D424" s="2">
        <f t="shared" si="300"/>
        <v>422</v>
      </c>
      <c r="E424" s="2">
        <f t="shared" si="300"/>
        <v>0</v>
      </c>
      <c r="F424" s="2" t="str">
        <f t="shared" si="300"/>
        <v>Новый раздел</v>
      </c>
      <c r="G424" s="2" t="str">
        <f t="shared" si="300"/>
        <v>Заезд</v>
      </c>
      <c r="H424" s="2"/>
      <c r="I424" s="2"/>
      <c r="J424" s="2"/>
      <c r="K424" s="2"/>
      <c r="L424" s="2"/>
      <c r="M424" s="2"/>
      <c r="N424" s="2"/>
      <c r="O424" s="2">
        <f t="shared" ref="O424:AT424" si="301">O438</f>
        <v>44884.81</v>
      </c>
      <c r="P424" s="2">
        <f t="shared" si="301"/>
        <v>32358.49</v>
      </c>
      <c r="Q424" s="2">
        <f t="shared" si="301"/>
        <v>9954.6</v>
      </c>
      <c r="R424" s="2">
        <f t="shared" si="301"/>
        <v>2001.27</v>
      </c>
      <c r="S424" s="2">
        <f t="shared" si="301"/>
        <v>2571.7199999999998</v>
      </c>
      <c r="T424" s="2">
        <f t="shared" si="301"/>
        <v>0</v>
      </c>
      <c r="U424" s="2">
        <f t="shared" si="301"/>
        <v>9.2051280000000002</v>
      </c>
      <c r="V424" s="2">
        <f t="shared" si="301"/>
        <v>5.0127660000000001</v>
      </c>
      <c r="W424" s="2">
        <f t="shared" si="301"/>
        <v>0</v>
      </c>
      <c r="X424" s="2">
        <f t="shared" si="301"/>
        <v>5278.23</v>
      </c>
      <c r="Y424" s="2">
        <f t="shared" si="301"/>
        <v>3817.31</v>
      </c>
      <c r="Z424" s="2">
        <f t="shared" si="301"/>
        <v>0</v>
      </c>
      <c r="AA424" s="2">
        <f t="shared" si="301"/>
        <v>0</v>
      </c>
      <c r="AB424" s="2">
        <f t="shared" si="301"/>
        <v>44884.81</v>
      </c>
      <c r="AC424" s="2">
        <f t="shared" si="301"/>
        <v>32358.49</v>
      </c>
      <c r="AD424" s="2">
        <f t="shared" si="301"/>
        <v>9954.6</v>
      </c>
      <c r="AE424" s="2">
        <f t="shared" si="301"/>
        <v>2001.27</v>
      </c>
      <c r="AF424" s="2">
        <f t="shared" si="301"/>
        <v>2571.7199999999998</v>
      </c>
      <c r="AG424" s="2">
        <f t="shared" si="301"/>
        <v>0</v>
      </c>
      <c r="AH424" s="2">
        <f t="shared" si="301"/>
        <v>9.2051280000000002</v>
      </c>
      <c r="AI424" s="2">
        <f t="shared" si="301"/>
        <v>5.0127660000000001</v>
      </c>
      <c r="AJ424" s="2">
        <f t="shared" si="301"/>
        <v>0</v>
      </c>
      <c r="AK424" s="2">
        <f t="shared" si="301"/>
        <v>5278.23</v>
      </c>
      <c r="AL424" s="2">
        <f t="shared" si="301"/>
        <v>3817.31</v>
      </c>
      <c r="AM424" s="2">
        <f t="shared" si="301"/>
        <v>0</v>
      </c>
      <c r="AN424" s="2">
        <f t="shared" si="301"/>
        <v>0</v>
      </c>
      <c r="AO424" s="2">
        <f t="shared" si="301"/>
        <v>0</v>
      </c>
      <c r="AP424" s="2">
        <f t="shared" si="301"/>
        <v>0</v>
      </c>
      <c r="AQ424" s="2">
        <f t="shared" si="301"/>
        <v>0</v>
      </c>
      <c r="AR424" s="2">
        <f t="shared" si="301"/>
        <v>53980.35</v>
      </c>
      <c r="AS424" s="2">
        <f t="shared" si="301"/>
        <v>53980.35</v>
      </c>
      <c r="AT424" s="2">
        <f t="shared" si="301"/>
        <v>0</v>
      </c>
      <c r="AU424" s="2">
        <f t="shared" ref="AU424:BZ424" si="302">AU438</f>
        <v>0</v>
      </c>
      <c r="AV424" s="2">
        <f t="shared" si="302"/>
        <v>32358.49</v>
      </c>
      <c r="AW424" s="2">
        <f t="shared" si="302"/>
        <v>32358.49</v>
      </c>
      <c r="AX424" s="2">
        <f t="shared" si="302"/>
        <v>0</v>
      </c>
      <c r="AY424" s="2">
        <f t="shared" si="302"/>
        <v>32358.49</v>
      </c>
      <c r="AZ424" s="2">
        <f t="shared" si="302"/>
        <v>0</v>
      </c>
      <c r="BA424" s="2">
        <f t="shared" si="302"/>
        <v>0</v>
      </c>
      <c r="BB424" s="2">
        <f t="shared" si="302"/>
        <v>0</v>
      </c>
      <c r="BC424" s="2">
        <f t="shared" si="302"/>
        <v>0</v>
      </c>
      <c r="BD424" s="2">
        <f t="shared" si="302"/>
        <v>0</v>
      </c>
      <c r="BE424" s="2">
        <f t="shared" si="302"/>
        <v>0</v>
      </c>
      <c r="BF424" s="2">
        <f t="shared" si="302"/>
        <v>0</v>
      </c>
      <c r="BG424" s="2">
        <f t="shared" si="302"/>
        <v>0</v>
      </c>
      <c r="BH424" s="2">
        <f t="shared" si="302"/>
        <v>0</v>
      </c>
      <c r="BI424" s="2">
        <f t="shared" si="302"/>
        <v>0</v>
      </c>
      <c r="BJ424" s="2">
        <f t="shared" si="302"/>
        <v>0</v>
      </c>
      <c r="BK424" s="2">
        <f t="shared" si="302"/>
        <v>0</v>
      </c>
      <c r="BL424" s="2">
        <f t="shared" si="302"/>
        <v>0</v>
      </c>
      <c r="BM424" s="2">
        <f t="shared" si="302"/>
        <v>0</v>
      </c>
      <c r="BN424" s="2">
        <f t="shared" si="302"/>
        <v>0</v>
      </c>
      <c r="BO424" s="2">
        <f t="shared" si="302"/>
        <v>0</v>
      </c>
      <c r="BP424" s="2">
        <f t="shared" si="302"/>
        <v>0</v>
      </c>
      <c r="BQ424" s="2">
        <f t="shared" si="302"/>
        <v>0</v>
      </c>
      <c r="BR424" s="2">
        <f t="shared" si="302"/>
        <v>0</v>
      </c>
      <c r="BS424" s="2">
        <f t="shared" si="302"/>
        <v>0</v>
      </c>
      <c r="BT424" s="2">
        <f t="shared" si="302"/>
        <v>0</v>
      </c>
      <c r="BU424" s="2">
        <f t="shared" si="302"/>
        <v>0</v>
      </c>
      <c r="BV424" s="2">
        <f t="shared" si="302"/>
        <v>0</v>
      </c>
      <c r="BW424" s="2">
        <f t="shared" si="302"/>
        <v>0</v>
      </c>
      <c r="BX424" s="2">
        <f t="shared" si="302"/>
        <v>0</v>
      </c>
      <c r="BY424" s="2">
        <f t="shared" si="302"/>
        <v>0</v>
      </c>
      <c r="BZ424" s="2">
        <f t="shared" si="302"/>
        <v>0</v>
      </c>
      <c r="CA424" s="2">
        <f t="shared" ref="CA424:DF424" si="303">CA438</f>
        <v>53980.35</v>
      </c>
      <c r="CB424" s="2">
        <f t="shared" si="303"/>
        <v>53980.35</v>
      </c>
      <c r="CC424" s="2">
        <f t="shared" si="303"/>
        <v>0</v>
      </c>
      <c r="CD424" s="2">
        <f t="shared" si="303"/>
        <v>0</v>
      </c>
      <c r="CE424" s="2">
        <f t="shared" si="303"/>
        <v>32358.49</v>
      </c>
      <c r="CF424" s="2">
        <f t="shared" si="303"/>
        <v>32358.49</v>
      </c>
      <c r="CG424" s="2">
        <f t="shared" si="303"/>
        <v>0</v>
      </c>
      <c r="CH424" s="2">
        <f t="shared" si="303"/>
        <v>32358.49</v>
      </c>
      <c r="CI424" s="2">
        <f t="shared" si="303"/>
        <v>0</v>
      </c>
      <c r="CJ424" s="2">
        <f t="shared" si="303"/>
        <v>0</v>
      </c>
      <c r="CK424" s="2">
        <f t="shared" si="303"/>
        <v>0</v>
      </c>
      <c r="CL424" s="2">
        <f t="shared" si="303"/>
        <v>0</v>
      </c>
      <c r="CM424" s="2">
        <f t="shared" si="303"/>
        <v>0</v>
      </c>
      <c r="CN424" s="2">
        <f t="shared" si="303"/>
        <v>0</v>
      </c>
      <c r="CO424" s="2">
        <f t="shared" si="303"/>
        <v>0</v>
      </c>
      <c r="CP424" s="2">
        <f t="shared" si="303"/>
        <v>0</v>
      </c>
      <c r="CQ424" s="2">
        <f t="shared" si="303"/>
        <v>0</v>
      </c>
      <c r="CR424" s="2">
        <f t="shared" si="303"/>
        <v>0</v>
      </c>
      <c r="CS424" s="2">
        <f t="shared" si="303"/>
        <v>0</v>
      </c>
      <c r="CT424" s="2">
        <f t="shared" si="303"/>
        <v>0</v>
      </c>
      <c r="CU424" s="2">
        <f t="shared" si="303"/>
        <v>0</v>
      </c>
      <c r="CV424" s="2">
        <f t="shared" si="303"/>
        <v>0</v>
      </c>
      <c r="CW424" s="2">
        <f t="shared" si="303"/>
        <v>0</v>
      </c>
      <c r="CX424" s="2">
        <f t="shared" si="303"/>
        <v>0</v>
      </c>
      <c r="CY424" s="2">
        <f t="shared" si="303"/>
        <v>0</v>
      </c>
      <c r="CZ424" s="2">
        <f t="shared" si="303"/>
        <v>0</v>
      </c>
      <c r="DA424" s="2">
        <f t="shared" si="303"/>
        <v>0</v>
      </c>
      <c r="DB424" s="2">
        <f t="shared" si="303"/>
        <v>0</v>
      </c>
      <c r="DC424" s="2">
        <f t="shared" si="303"/>
        <v>0</v>
      </c>
      <c r="DD424" s="2">
        <f t="shared" si="303"/>
        <v>0</v>
      </c>
      <c r="DE424" s="2">
        <f t="shared" si="303"/>
        <v>0</v>
      </c>
      <c r="DF424" s="2">
        <f t="shared" si="303"/>
        <v>0</v>
      </c>
      <c r="DG424" s="3">
        <f t="shared" ref="DG424:EL424" si="304">DG438</f>
        <v>0</v>
      </c>
      <c r="DH424" s="3">
        <f t="shared" si="304"/>
        <v>0</v>
      </c>
      <c r="DI424" s="3">
        <f t="shared" si="304"/>
        <v>0</v>
      </c>
      <c r="DJ424" s="3">
        <f t="shared" si="304"/>
        <v>0</v>
      </c>
      <c r="DK424" s="3">
        <f t="shared" si="304"/>
        <v>0</v>
      </c>
      <c r="DL424" s="3">
        <f t="shared" si="304"/>
        <v>0</v>
      </c>
      <c r="DM424" s="3">
        <f t="shared" si="304"/>
        <v>0</v>
      </c>
      <c r="DN424" s="3">
        <f t="shared" si="304"/>
        <v>0</v>
      </c>
      <c r="DO424" s="3">
        <f t="shared" si="304"/>
        <v>0</v>
      </c>
      <c r="DP424" s="3">
        <f t="shared" si="304"/>
        <v>0</v>
      </c>
      <c r="DQ424" s="3">
        <f t="shared" si="304"/>
        <v>0</v>
      </c>
      <c r="DR424" s="3">
        <f t="shared" si="304"/>
        <v>0</v>
      </c>
      <c r="DS424" s="3">
        <f t="shared" si="304"/>
        <v>0</v>
      </c>
      <c r="DT424" s="3">
        <f t="shared" si="304"/>
        <v>0</v>
      </c>
      <c r="DU424" s="3">
        <f t="shared" si="304"/>
        <v>0</v>
      </c>
      <c r="DV424" s="3">
        <f t="shared" si="304"/>
        <v>0</v>
      </c>
      <c r="DW424" s="3">
        <f t="shared" si="304"/>
        <v>0</v>
      </c>
      <c r="DX424" s="3">
        <f t="shared" si="304"/>
        <v>0</v>
      </c>
      <c r="DY424" s="3">
        <f t="shared" si="304"/>
        <v>0</v>
      </c>
      <c r="DZ424" s="3">
        <f t="shared" si="304"/>
        <v>0</v>
      </c>
      <c r="EA424" s="3">
        <f t="shared" si="304"/>
        <v>0</v>
      </c>
      <c r="EB424" s="3">
        <f t="shared" si="304"/>
        <v>0</v>
      </c>
      <c r="EC424" s="3">
        <f t="shared" si="304"/>
        <v>0</v>
      </c>
      <c r="ED424" s="3">
        <f t="shared" si="304"/>
        <v>0</v>
      </c>
      <c r="EE424" s="3">
        <f t="shared" si="304"/>
        <v>0</v>
      </c>
      <c r="EF424" s="3">
        <f t="shared" si="304"/>
        <v>0</v>
      </c>
      <c r="EG424" s="3">
        <f t="shared" si="304"/>
        <v>0</v>
      </c>
      <c r="EH424" s="3">
        <f t="shared" si="304"/>
        <v>0</v>
      </c>
      <c r="EI424" s="3">
        <f t="shared" si="304"/>
        <v>0</v>
      </c>
      <c r="EJ424" s="3">
        <f t="shared" si="304"/>
        <v>0</v>
      </c>
      <c r="EK424" s="3">
        <f t="shared" si="304"/>
        <v>0</v>
      </c>
      <c r="EL424" s="3">
        <f t="shared" si="304"/>
        <v>0</v>
      </c>
      <c r="EM424" s="3">
        <f t="shared" ref="EM424:FR424" si="305">EM438</f>
        <v>0</v>
      </c>
      <c r="EN424" s="3">
        <f t="shared" si="305"/>
        <v>0</v>
      </c>
      <c r="EO424" s="3">
        <f t="shared" si="305"/>
        <v>0</v>
      </c>
      <c r="EP424" s="3">
        <f t="shared" si="305"/>
        <v>0</v>
      </c>
      <c r="EQ424" s="3">
        <f t="shared" si="305"/>
        <v>0</v>
      </c>
      <c r="ER424" s="3">
        <f t="shared" si="305"/>
        <v>0</v>
      </c>
      <c r="ES424" s="3">
        <f t="shared" si="305"/>
        <v>0</v>
      </c>
      <c r="ET424" s="3">
        <f t="shared" si="305"/>
        <v>0</v>
      </c>
      <c r="EU424" s="3">
        <f t="shared" si="305"/>
        <v>0</v>
      </c>
      <c r="EV424" s="3">
        <f t="shared" si="305"/>
        <v>0</v>
      </c>
      <c r="EW424" s="3">
        <f t="shared" si="305"/>
        <v>0</v>
      </c>
      <c r="EX424" s="3">
        <f t="shared" si="305"/>
        <v>0</v>
      </c>
      <c r="EY424" s="3">
        <f t="shared" si="305"/>
        <v>0</v>
      </c>
      <c r="EZ424" s="3">
        <f t="shared" si="305"/>
        <v>0</v>
      </c>
      <c r="FA424" s="3">
        <f t="shared" si="305"/>
        <v>0</v>
      </c>
      <c r="FB424" s="3">
        <f t="shared" si="305"/>
        <v>0</v>
      </c>
      <c r="FC424" s="3">
        <f t="shared" si="305"/>
        <v>0</v>
      </c>
      <c r="FD424" s="3">
        <f t="shared" si="305"/>
        <v>0</v>
      </c>
      <c r="FE424" s="3">
        <f t="shared" si="305"/>
        <v>0</v>
      </c>
      <c r="FF424" s="3">
        <f t="shared" si="305"/>
        <v>0</v>
      </c>
      <c r="FG424" s="3">
        <f t="shared" si="305"/>
        <v>0</v>
      </c>
      <c r="FH424" s="3">
        <f t="shared" si="305"/>
        <v>0</v>
      </c>
      <c r="FI424" s="3">
        <f t="shared" si="305"/>
        <v>0</v>
      </c>
      <c r="FJ424" s="3">
        <f t="shared" si="305"/>
        <v>0</v>
      </c>
      <c r="FK424" s="3">
        <f t="shared" si="305"/>
        <v>0</v>
      </c>
      <c r="FL424" s="3">
        <f t="shared" si="305"/>
        <v>0</v>
      </c>
      <c r="FM424" s="3">
        <f t="shared" si="305"/>
        <v>0</v>
      </c>
      <c r="FN424" s="3">
        <f t="shared" si="305"/>
        <v>0</v>
      </c>
      <c r="FO424" s="3">
        <f t="shared" si="305"/>
        <v>0</v>
      </c>
      <c r="FP424" s="3">
        <f t="shared" si="305"/>
        <v>0</v>
      </c>
      <c r="FQ424" s="3">
        <f t="shared" si="305"/>
        <v>0</v>
      </c>
      <c r="FR424" s="3">
        <f t="shared" si="305"/>
        <v>0</v>
      </c>
      <c r="FS424" s="3">
        <f t="shared" ref="FS424:GX424" si="306">FS438</f>
        <v>0</v>
      </c>
      <c r="FT424" s="3">
        <f t="shared" si="306"/>
        <v>0</v>
      </c>
      <c r="FU424" s="3">
        <f t="shared" si="306"/>
        <v>0</v>
      </c>
      <c r="FV424" s="3">
        <f t="shared" si="306"/>
        <v>0</v>
      </c>
      <c r="FW424" s="3">
        <f t="shared" si="306"/>
        <v>0</v>
      </c>
      <c r="FX424" s="3">
        <f t="shared" si="306"/>
        <v>0</v>
      </c>
      <c r="FY424" s="3">
        <f t="shared" si="306"/>
        <v>0</v>
      </c>
      <c r="FZ424" s="3">
        <f t="shared" si="306"/>
        <v>0</v>
      </c>
      <c r="GA424" s="3">
        <f t="shared" si="306"/>
        <v>0</v>
      </c>
      <c r="GB424" s="3">
        <f t="shared" si="306"/>
        <v>0</v>
      </c>
      <c r="GC424" s="3">
        <f t="shared" si="306"/>
        <v>0</v>
      </c>
      <c r="GD424" s="3">
        <f t="shared" si="306"/>
        <v>0</v>
      </c>
      <c r="GE424" s="3">
        <f t="shared" si="306"/>
        <v>0</v>
      </c>
      <c r="GF424" s="3">
        <f t="shared" si="306"/>
        <v>0</v>
      </c>
      <c r="GG424" s="3">
        <f t="shared" si="306"/>
        <v>0</v>
      </c>
      <c r="GH424" s="3">
        <f t="shared" si="306"/>
        <v>0</v>
      </c>
      <c r="GI424" s="3">
        <f t="shared" si="306"/>
        <v>0</v>
      </c>
      <c r="GJ424" s="3">
        <f t="shared" si="306"/>
        <v>0</v>
      </c>
      <c r="GK424" s="3">
        <f t="shared" si="306"/>
        <v>0</v>
      </c>
      <c r="GL424" s="3">
        <f t="shared" si="306"/>
        <v>0</v>
      </c>
      <c r="GM424" s="3">
        <f t="shared" si="306"/>
        <v>0</v>
      </c>
      <c r="GN424" s="3">
        <f t="shared" si="306"/>
        <v>0</v>
      </c>
      <c r="GO424" s="3">
        <f t="shared" si="306"/>
        <v>0</v>
      </c>
      <c r="GP424" s="3">
        <f t="shared" si="306"/>
        <v>0</v>
      </c>
      <c r="GQ424" s="3">
        <f t="shared" si="306"/>
        <v>0</v>
      </c>
      <c r="GR424" s="3">
        <f t="shared" si="306"/>
        <v>0</v>
      </c>
      <c r="GS424" s="3">
        <f t="shared" si="306"/>
        <v>0</v>
      </c>
      <c r="GT424" s="3">
        <f t="shared" si="306"/>
        <v>0</v>
      </c>
      <c r="GU424" s="3">
        <f t="shared" si="306"/>
        <v>0</v>
      </c>
      <c r="GV424" s="3">
        <f t="shared" si="306"/>
        <v>0</v>
      </c>
      <c r="GW424" s="3">
        <f t="shared" si="306"/>
        <v>0</v>
      </c>
      <c r="GX424" s="3">
        <f t="shared" si="306"/>
        <v>0</v>
      </c>
    </row>
    <row r="426" spans="1:245" x14ac:dyDescent="0.2">
      <c r="A426">
        <v>17</v>
      </c>
      <c r="B426">
        <v>1</v>
      </c>
      <c r="C426">
        <f>ROW(SmtRes!A347)</f>
        <v>347</v>
      </c>
      <c r="D426">
        <f>ROW(EtalonRes!A347)</f>
        <v>347</v>
      </c>
      <c r="E426" t="s">
        <v>500</v>
      </c>
      <c r="F426" t="s">
        <v>501</v>
      </c>
      <c r="G426" t="s">
        <v>502</v>
      </c>
      <c r="H426" t="s">
        <v>503</v>
      </c>
      <c r="I426">
        <f>ROUND(11.4/1000,9)</f>
        <v>1.14E-2</v>
      </c>
      <c r="J426">
        <v>0</v>
      </c>
      <c r="K426">
        <f>ROUND(11.4/1000,9)</f>
        <v>1.14E-2</v>
      </c>
      <c r="O426">
        <f t="shared" ref="O426:O436" si="307">ROUND(CP426,2)</f>
        <v>1549.08</v>
      </c>
      <c r="P426">
        <f t="shared" ref="P426:P436" si="308">ROUND(CQ426*I426,2)</f>
        <v>1.84</v>
      </c>
      <c r="Q426">
        <f t="shared" ref="Q426:Q436" si="309">ROUND(CR426*I426,2)</f>
        <v>1455.44</v>
      </c>
      <c r="R426">
        <f t="shared" ref="R426:R436" si="310">ROUND(CS426*I426,2)</f>
        <v>374.91</v>
      </c>
      <c r="S426">
        <f t="shared" ref="S426:S436" si="311">ROUND(CT426*I426,2)</f>
        <v>91.8</v>
      </c>
      <c r="T426">
        <f t="shared" ref="T426:T436" si="312">ROUND(CU426*I426,2)</f>
        <v>0</v>
      </c>
      <c r="U426">
        <f t="shared" ref="U426:U436" si="313">CV426*I426</f>
        <v>0.35704800000000003</v>
      </c>
      <c r="V426">
        <f t="shared" ref="V426:V436" si="314">CW426*I426</f>
        <v>1.027026</v>
      </c>
      <c r="W426">
        <f t="shared" ref="W426:W436" si="315">ROUND(CX426*I426,2)</f>
        <v>0</v>
      </c>
      <c r="X426">
        <f t="shared" ref="X426:X436" si="316">ROUND(CY426,2)</f>
        <v>429.37</v>
      </c>
      <c r="Y426">
        <f t="shared" ref="Y426:Y436" si="317">ROUND(CZ426,2)</f>
        <v>214.69</v>
      </c>
      <c r="AA426">
        <v>94798619</v>
      </c>
      <c r="AB426">
        <f t="shared" ref="AB426:AB436" si="318">ROUND((AC426+AD426+AF426),2)</f>
        <v>7391.52</v>
      </c>
      <c r="AC426">
        <f t="shared" ref="AC426:AC436" si="319">ROUND((ES426),2)</f>
        <v>10.79</v>
      </c>
      <c r="AD426">
        <f t="shared" ref="AD426:AD436" si="320">ROUND((((ET426)-(EU426))+AE426),2)</f>
        <v>7152.41</v>
      </c>
      <c r="AE426">
        <f t="shared" ref="AE426:AE436" si="321">ROUND((EU426),2)</f>
        <v>932.43</v>
      </c>
      <c r="AF426">
        <f t="shared" ref="AF426:AF436" si="322">ROUND((EV426),2)</f>
        <v>228.32</v>
      </c>
      <c r="AG426">
        <f t="shared" ref="AG426:AG436" si="323">ROUND((AP426),2)</f>
        <v>0</v>
      </c>
      <c r="AH426">
        <f t="shared" ref="AH426:AH436" si="324">(EW426)</f>
        <v>31.32</v>
      </c>
      <c r="AI426">
        <f t="shared" ref="AI426:AI436" si="325">(EX426)</f>
        <v>90.09</v>
      </c>
      <c r="AJ426">
        <f t="shared" ref="AJ426:AJ436" si="326">(AS426)</f>
        <v>0</v>
      </c>
      <c r="AK426">
        <v>7391.52</v>
      </c>
      <c r="AL426">
        <v>10.79</v>
      </c>
      <c r="AM426">
        <v>7152.41</v>
      </c>
      <c r="AN426">
        <v>932.43</v>
      </c>
      <c r="AO426">
        <v>228.32</v>
      </c>
      <c r="AP426">
        <v>0</v>
      </c>
      <c r="AQ426">
        <v>31.32</v>
      </c>
      <c r="AR426">
        <v>90.09</v>
      </c>
      <c r="AS426">
        <v>0</v>
      </c>
      <c r="AT426">
        <v>92</v>
      </c>
      <c r="AU426">
        <v>46</v>
      </c>
      <c r="AV426">
        <v>1</v>
      </c>
      <c r="AW426">
        <v>1</v>
      </c>
      <c r="AZ426">
        <v>1</v>
      </c>
      <c r="BA426">
        <v>35.270000000000003</v>
      </c>
      <c r="BB426">
        <v>17.850000000000001</v>
      </c>
      <c r="BC426">
        <v>14.92</v>
      </c>
      <c r="BD426" t="s">
        <v>3</v>
      </c>
      <c r="BE426" t="s">
        <v>3</v>
      </c>
      <c r="BF426" t="s">
        <v>3</v>
      </c>
      <c r="BG426" t="s">
        <v>3</v>
      </c>
      <c r="BH426">
        <v>0</v>
      </c>
      <c r="BI426">
        <v>1</v>
      </c>
      <c r="BJ426" t="s">
        <v>504</v>
      </c>
      <c r="BM426">
        <v>1001</v>
      </c>
      <c r="BN426">
        <v>0</v>
      </c>
      <c r="BO426" t="s">
        <v>501</v>
      </c>
      <c r="BP426">
        <v>1</v>
      </c>
      <c r="BQ426">
        <v>2</v>
      </c>
      <c r="BR426">
        <v>0</v>
      </c>
      <c r="BS426">
        <v>35.270000000000003</v>
      </c>
      <c r="BT426">
        <v>1</v>
      </c>
      <c r="BU426">
        <v>1</v>
      </c>
      <c r="BV426">
        <v>1</v>
      </c>
      <c r="BW426">
        <v>1</v>
      </c>
      <c r="BX426">
        <v>1</v>
      </c>
      <c r="BY426" t="s">
        <v>3</v>
      </c>
      <c r="BZ426">
        <v>92</v>
      </c>
      <c r="CA426">
        <v>46</v>
      </c>
      <c r="CB426" t="s">
        <v>3</v>
      </c>
      <c r="CE426">
        <v>0</v>
      </c>
      <c r="CF426">
        <v>0</v>
      </c>
      <c r="CG426">
        <v>0</v>
      </c>
      <c r="CM426">
        <v>0</v>
      </c>
      <c r="CN426" t="s">
        <v>3</v>
      </c>
      <c r="CO426">
        <v>0</v>
      </c>
      <c r="CP426">
        <f t="shared" ref="CP426:CP436" si="327">(P426+Q426+S426)</f>
        <v>1549.08</v>
      </c>
      <c r="CQ426">
        <f t="shared" ref="CQ426:CQ436" si="328">AC426*BC426</f>
        <v>160.98679999999999</v>
      </c>
      <c r="CR426">
        <f t="shared" ref="CR426:CR436" si="329">(((ET426)*BB426-(EU426)*BS426)+AE426*BS426)</f>
        <v>127670.51850000001</v>
      </c>
      <c r="CS426">
        <f t="shared" ref="CS426:CS436" si="330">AE426*BS426</f>
        <v>32886.806100000002</v>
      </c>
      <c r="CT426">
        <f t="shared" ref="CT426:CT436" si="331">AF426*BA426</f>
        <v>8052.8464000000004</v>
      </c>
      <c r="CU426">
        <f t="shared" ref="CU426:CU436" si="332">AG426</f>
        <v>0</v>
      </c>
      <c r="CV426">
        <f t="shared" ref="CV426:CV436" si="333">AH426</f>
        <v>31.32</v>
      </c>
      <c r="CW426">
        <f t="shared" ref="CW426:CW436" si="334">AI426</f>
        <v>90.09</v>
      </c>
      <c r="CX426">
        <f t="shared" ref="CX426:CX436" si="335">AJ426</f>
        <v>0</v>
      </c>
      <c r="CY426">
        <f>(((S426+R426)*AT426)/100)</f>
        <v>429.37320000000005</v>
      </c>
      <c r="CZ426">
        <f>(((S426+R426)*AU426)/100)</f>
        <v>214.68660000000003</v>
      </c>
      <c r="DC426" t="s">
        <v>3</v>
      </c>
      <c r="DD426" t="s">
        <v>3</v>
      </c>
      <c r="DE426" t="s">
        <v>3</v>
      </c>
      <c r="DF426" t="s">
        <v>3</v>
      </c>
      <c r="DG426" t="s">
        <v>3</v>
      </c>
      <c r="DH426" t="s">
        <v>3</v>
      </c>
      <c r="DI426" t="s">
        <v>3</v>
      </c>
      <c r="DJ426" t="s">
        <v>3</v>
      </c>
      <c r="DK426" t="s">
        <v>3</v>
      </c>
      <c r="DL426" t="s">
        <v>3</v>
      </c>
      <c r="DM426" t="s">
        <v>3</v>
      </c>
      <c r="DN426">
        <v>0</v>
      </c>
      <c r="DO426">
        <v>0</v>
      </c>
      <c r="DP426">
        <v>1</v>
      </c>
      <c r="DQ426">
        <v>1</v>
      </c>
      <c r="DU426">
        <v>1007</v>
      </c>
      <c r="DV426" t="s">
        <v>503</v>
      </c>
      <c r="DW426" t="s">
        <v>503</v>
      </c>
      <c r="DX426">
        <v>1000</v>
      </c>
      <c r="DZ426" t="s">
        <v>3</v>
      </c>
      <c r="EA426" t="s">
        <v>3</v>
      </c>
      <c r="EB426" t="s">
        <v>3</v>
      </c>
      <c r="EC426" t="s">
        <v>3</v>
      </c>
      <c r="EE426">
        <v>92109373</v>
      </c>
      <c r="EF426">
        <v>2</v>
      </c>
      <c r="EG426" t="s">
        <v>21</v>
      </c>
      <c r="EH426">
        <v>1</v>
      </c>
      <c r="EI426" t="s">
        <v>22</v>
      </c>
      <c r="EJ426">
        <v>1</v>
      </c>
      <c r="EK426">
        <v>1001</v>
      </c>
      <c r="EL426" t="s">
        <v>505</v>
      </c>
      <c r="EM426" t="s">
        <v>24</v>
      </c>
      <c r="EO426" t="s">
        <v>3</v>
      </c>
      <c r="EQ426">
        <v>0</v>
      </c>
      <c r="ER426">
        <v>7391.52</v>
      </c>
      <c r="ES426">
        <v>10.79</v>
      </c>
      <c r="ET426">
        <v>7152.41</v>
      </c>
      <c r="EU426">
        <v>932.43</v>
      </c>
      <c r="EV426">
        <v>228.32</v>
      </c>
      <c r="EW426">
        <v>31.32</v>
      </c>
      <c r="EX426">
        <v>90.09</v>
      </c>
      <c r="EY426">
        <v>0</v>
      </c>
      <c r="FQ426">
        <v>0</v>
      </c>
      <c r="FR426">
        <f t="shared" ref="FR426:FR436" si="336">ROUND(IF(BI426=3,GM426,0),2)</f>
        <v>0</v>
      </c>
      <c r="FS426">
        <v>0</v>
      </c>
      <c r="FX426">
        <v>92</v>
      </c>
      <c r="FY426">
        <v>46</v>
      </c>
      <c r="GA426" t="s">
        <v>3</v>
      </c>
      <c r="GD426">
        <v>1</v>
      </c>
      <c r="GF426">
        <v>-1312286141</v>
      </c>
      <c r="GG426">
        <v>2</v>
      </c>
      <c r="GH426">
        <v>1</v>
      </c>
      <c r="GI426">
        <v>2</v>
      </c>
      <c r="GJ426">
        <v>0</v>
      </c>
      <c r="GK426">
        <v>0</v>
      </c>
      <c r="GL426">
        <f t="shared" ref="GL426:GL436" si="337">ROUND(IF(AND(BH426=3,BI426=3,FS426&lt;&gt;0),P426,0),2)</f>
        <v>0</v>
      </c>
      <c r="GM426">
        <f t="shared" ref="GM426:GM436" si="338">ROUND(O426+X426+Y426,2)+GX426</f>
        <v>2193.14</v>
      </c>
      <c r="GN426">
        <f t="shared" ref="GN426:GN436" si="339">IF(OR(BI426=0,BI426=1),GM426-GX426,0)</f>
        <v>2193.14</v>
      </c>
      <c r="GO426">
        <f t="shared" ref="GO426:GO436" si="340">IF(BI426=2,GM426-GX426,0)</f>
        <v>0</v>
      </c>
      <c r="GP426">
        <f t="shared" ref="GP426:GP436" si="341">IF(BI426=4,GM426-GX426,0)</f>
        <v>0</v>
      </c>
      <c r="GR426">
        <v>0</v>
      </c>
      <c r="GS426">
        <v>3</v>
      </c>
      <c r="GT426">
        <v>0</v>
      </c>
      <c r="GU426" t="s">
        <v>3</v>
      </c>
      <c r="GV426">
        <f t="shared" ref="GV426:GV436" si="342">ROUND((GT426),2)</f>
        <v>0</v>
      </c>
      <c r="GW426">
        <v>1</v>
      </c>
      <c r="GX426">
        <f t="shared" ref="GX426:GX436" si="343">ROUND(HC426*I426,2)</f>
        <v>0</v>
      </c>
      <c r="HA426">
        <v>0</v>
      </c>
      <c r="HB426">
        <v>0</v>
      </c>
      <c r="HC426">
        <f t="shared" ref="HC426:HC436" si="344">GV426*GW426</f>
        <v>0</v>
      </c>
      <c r="HE426" t="s">
        <v>3</v>
      </c>
      <c r="HF426" t="s">
        <v>3</v>
      </c>
      <c r="HM426" t="s">
        <v>3</v>
      </c>
      <c r="HN426" t="s">
        <v>506</v>
      </c>
      <c r="HO426" t="s">
        <v>507</v>
      </c>
      <c r="HP426" t="s">
        <v>505</v>
      </c>
      <c r="HQ426" t="s">
        <v>505</v>
      </c>
      <c r="IK426">
        <v>0</v>
      </c>
    </row>
    <row r="427" spans="1:245" x14ac:dyDescent="0.2">
      <c r="A427">
        <v>17</v>
      </c>
      <c r="B427">
        <v>1</v>
      </c>
      <c r="C427">
        <f>ROW(SmtRes!A355)</f>
        <v>355</v>
      </c>
      <c r="D427">
        <f>ROW(EtalonRes!A355)</f>
        <v>355</v>
      </c>
      <c r="E427" t="s">
        <v>508</v>
      </c>
      <c r="F427" t="s">
        <v>509</v>
      </c>
      <c r="G427" t="s">
        <v>510</v>
      </c>
      <c r="H427" t="s">
        <v>316</v>
      </c>
      <c r="I427">
        <f>ROUND(4.5/100,9)</f>
        <v>4.4999999999999998E-2</v>
      </c>
      <c r="J427">
        <v>0</v>
      </c>
      <c r="K427">
        <f>ROUND(4.5/100,9)</f>
        <v>4.4999999999999998E-2</v>
      </c>
      <c r="O427">
        <f t="shared" si="307"/>
        <v>1842.14</v>
      </c>
      <c r="P427">
        <f t="shared" si="308"/>
        <v>4.41</v>
      </c>
      <c r="Q427">
        <f t="shared" si="309"/>
        <v>1650.86</v>
      </c>
      <c r="R427">
        <f t="shared" si="310"/>
        <v>252.45</v>
      </c>
      <c r="S427">
        <f t="shared" si="311"/>
        <v>186.87</v>
      </c>
      <c r="T427">
        <f t="shared" si="312"/>
        <v>0</v>
      </c>
      <c r="U427">
        <f t="shared" si="313"/>
        <v>0.70740000000000003</v>
      </c>
      <c r="V427">
        <f t="shared" si="314"/>
        <v>0.62460000000000004</v>
      </c>
      <c r="W427">
        <f t="shared" si="315"/>
        <v>0</v>
      </c>
      <c r="X427">
        <f t="shared" si="316"/>
        <v>645.79999999999995</v>
      </c>
      <c r="Y427">
        <f t="shared" si="317"/>
        <v>588.69000000000005</v>
      </c>
      <c r="AA427">
        <v>94798619</v>
      </c>
      <c r="AB427">
        <f t="shared" si="318"/>
        <v>2356.17</v>
      </c>
      <c r="AC427">
        <f t="shared" si="319"/>
        <v>12.35</v>
      </c>
      <c r="AD427">
        <f t="shared" si="320"/>
        <v>2226.08</v>
      </c>
      <c r="AE427">
        <f t="shared" si="321"/>
        <v>159.06</v>
      </c>
      <c r="AF427">
        <f t="shared" si="322"/>
        <v>117.74</v>
      </c>
      <c r="AG427">
        <f t="shared" si="323"/>
        <v>0</v>
      </c>
      <c r="AH427">
        <f t="shared" si="324"/>
        <v>15.72</v>
      </c>
      <c r="AI427">
        <f t="shared" si="325"/>
        <v>13.88</v>
      </c>
      <c r="AJ427">
        <f t="shared" si="326"/>
        <v>0</v>
      </c>
      <c r="AK427">
        <v>2356.17</v>
      </c>
      <c r="AL427">
        <v>12.35</v>
      </c>
      <c r="AM427">
        <v>2226.08</v>
      </c>
      <c r="AN427">
        <v>159.06</v>
      </c>
      <c r="AO427">
        <v>117.74</v>
      </c>
      <c r="AP427">
        <v>0</v>
      </c>
      <c r="AQ427">
        <v>15.72</v>
      </c>
      <c r="AR427">
        <v>13.88</v>
      </c>
      <c r="AS427">
        <v>0</v>
      </c>
      <c r="AT427">
        <v>147</v>
      </c>
      <c r="AU427">
        <v>134</v>
      </c>
      <c r="AV427">
        <v>1</v>
      </c>
      <c r="AW427">
        <v>1</v>
      </c>
      <c r="AZ427">
        <v>1</v>
      </c>
      <c r="BA427">
        <v>35.270000000000003</v>
      </c>
      <c r="BB427">
        <v>16.48</v>
      </c>
      <c r="BC427">
        <v>7.93</v>
      </c>
      <c r="BD427" t="s">
        <v>3</v>
      </c>
      <c r="BE427" t="s">
        <v>3</v>
      </c>
      <c r="BF427" t="s">
        <v>3</v>
      </c>
      <c r="BG427" t="s">
        <v>3</v>
      </c>
      <c r="BH427">
        <v>0</v>
      </c>
      <c r="BI427">
        <v>1</v>
      </c>
      <c r="BJ427" t="s">
        <v>511</v>
      </c>
      <c r="BM427">
        <v>27001</v>
      </c>
      <c r="BN427">
        <v>0</v>
      </c>
      <c r="BO427" t="s">
        <v>509</v>
      </c>
      <c r="BP427">
        <v>1</v>
      </c>
      <c r="BQ427">
        <v>2</v>
      </c>
      <c r="BR427">
        <v>0</v>
      </c>
      <c r="BS427">
        <v>35.270000000000003</v>
      </c>
      <c r="BT427">
        <v>1</v>
      </c>
      <c r="BU427">
        <v>1</v>
      </c>
      <c r="BV427">
        <v>1</v>
      </c>
      <c r="BW427">
        <v>1</v>
      </c>
      <c r="BX427">
        <v>1</v>
      </c>
      <c r="BY427" t="s">
        <v>3</v>
      </c>
      <c r="BZ427">
        <v>147</v>
      </c>
      <c r="CA427">
        <v>134</v>
      </c>
      <c r="CB427" t="s">
        <v>3</v>
      </c>
      <c r="CE427">
        <v>0</v>
      </c>
      <c r="CF427">
        <v>0</v>
      </c>
      <c r="CG427">
        <v>0</v>
      </c>
      <c r="CM427">
        <v>0</v>
      </c>
      <c r="CN427" t="s">
        <v>3</v>
      </c>
      <c r="CO427">
        <v>0</v>
      </c>
      <c r="CP427">
        <f t="shared" si="327"/>
        <v>1842.1399999999999</v>
      </c>
      <c r="CQ427">
        <f t="shared" si="328"/>
        <v>97.93549999999999</v>
      </c>
      <c r="CR427">
        <f t="shared" si="329"/>
        <v>36685.7984</v>
      </c>
      <c r="CS427">
        <f t="shared" si="330"/>
        <v>5610.0462000000007</v>
      </c>
      <c r="CT427">
        <f t="shared" si="331"/>
        <v>4152.6898000000001</v>
      </c>
      <c r="CU427">
        <f t="shared" si="332"/>
        <v>0</v>
      </c>
      <c r="CV427">
        <f t="shared" si="333"/>
        <v>15.72</v>
      </c>
      <c r="CW427">
        <f t="shared" si="334"/>
        <v>13.88</v>
      </c>
      <c r="CX427">
        <f t="shared" si="335"/>
        <v>0</v>
      </c>
      <c r="CY427">
        <f>(((S427+R427)*AT427)/100)</f>
        <v>645.80039999999997</v>
      </c>
      <c r="CZ427">
        <f>(((S427+R427)*AU427)/100)</f>
        <v>588.68880000000001</v>
      </c>
      <c r="DC427" t="s">
        <v>3</v>
      </c>
      <c r="DD427" t="s">
        <v>3</v>
      </c>
      <c r="DE427" t="s">
        <v>3</v>
      </c>
      <c r="DF427" t="s">
        <v>3</v>
      </c>
      <c r="DG427" t="s">
        <v>3</v>
      </c>
      <c r="DH427" t="s">
        <v>3</v>
      </c>
      <c r="DI427" t="s">
        <v>3</v>
      </c>
      <c r="DJ427" t="s">
        <v>3</v>
      </c>
      <c r="DK427" t="s">
        <v>3</v>
      </c>
      <c r="DL427" t="s">
        <v>3</v>
      </c>
      <c r="DM427" t="s">
        <v>3</v>
      </c>
      <c r="DN427">
        <v>0</v>
      </c>
      <c r="DO427">
        <v>0</v>
      </c>
      <c r="DP427">
        <v>1</v>
      </c>
      <c r="DQ427">
        <v>1</v>
      </c>
      <c r="DU427">
        <v>1013</v>
      </c>
      <c r="DV427" t="s">
        <v>316</v>
      </c>
      <c r="DW427" t="s">
        <v>316</v>
      </c>
      <c r="DX427">
        <v>1</v>
      </c>
      <c r="DZ427" t="s">
        <v>3</v>
      </c>
      <c r="EA427" t="s">
        <v>3</v>
      </c>
      <c r="EB427" t="s">
        <v>3</v>
      </c>
      <c r="EC427" t="s">
        <v>3</v>
      </c>
      <c r="EE427">
        <v>92109440</v>
      </c>
      <c r="EF427">
        <v>2</v>
      </c>
      <c r="EG427" t="s">
        <v>21</v>
      </c>
      <c r="EH427">
        <v>21</v>
      </c>
      <c r="EI427" t="s">
        <v>161</v>
      </c>
      <c r="EJ427">
        <v>1</v>
      </c>
      <c r="EK427">
        <v>27001</v>
      </c>
      <c r="EL427" t="s">
        <v>161</v>
      </c>
      <c r="EM427" t="s">
        <v>162</v>
      </c>
      <c r="EO427" t="s">
        <v>3</v>
      </c>
      <c r="EQ427">
        <v>0</v>
      </c>
      <c r="ER427">
        <v>2356.17</v>
      </c>
      <c r="ES427">
        <v>12.35</v>
      </c>
      <c r="ET427">
        <v>2226.08</v>
      </c>
      <c r="EU427">
        <v>159.06</v>
      </c>
      <c r="EV427">
        <v>117.74</v>
      </c>
      <c r="EW427">
        <v>15.72</v>
      </c>
      <c r="EX427">
        <v>13.88</v>
      </c>
      <c r="EY427">
        <v>0</v>
      </c>
      <c r="FQ427">
        <v>0</v>
      </c>
      <c r="FR427">
        <f t="shared" si="336"/>
        <v>0</v>
      </c>
      <c r="FS427">
        <v>0</v>
      </c>
      <c r="FX427">
        <v>147</v>
      </c>
      <c r="FY427">
        <v>134</v>
      </c>
      <c r="GA427" t="s">
        <v>3</v>
      </c>
      <c r="GD427">
        <v>1</v>
      </c>
      <c r="GF427">
        <v>-2077261621</v>
      </c>
      <c r="GG427">
        <v>2</v>
      </c>
      <c r="GH427">
        <v>1</v>
      </c>
      <c r="GI427">
        <v>2</v>
      </c>
      <c r="GJ427">
        <v>0</v>
      </c>
      <c r="GK427">
        <v>0</v>
      </c>
      <c r="GL427">
        <f t="shared" si="337"/>
        <v>0</v>
      </c>
      <c r="GM427">
        <f t="shared" si="338"/>
        <v>3076.63</v>
      </c>
      <c r="GN427">
        <f t="shared" si="339"/>
        <v>3076.63</v>
      </c>
      <c r="GO427">
        <f t="shared" si="340"/>
        <v>0</v>
      </c>
      <c r="GP427">
        <f t="shared" si="341"/>
        <v>0</v>
      </c>
      <c r="GR427">
        <v>0</v>
      </c>
      <c r="GS427">
        <v>3</v>
      </c>
      <c r="GT427">
        <v>0</v>
      </c>
      <c r="GU427" t="s">
        <v>3</v>
      </c>
      <c r="GV427">
        <f t="shared" si="342"/>
        <v>0</v>
      </c>
      <c r="GW427">
        <v>1</v>
      </c>
      <c r="GX427">
        <f t="shared" si="343"/>
        <v>0</v>
      </c>
      <c r="HA427">
        <v>0</v>
      </c>
      <c r="HB427">
        <v>0</v>
      </c>
      <c r="HC427">
        <f t="shared" si="344"/>
        <v>0</v>
      </c>
      <c r="HE427" t="s">
        <v>3</v>
      </c>
      <c r="HF427" t="s">
        <v>3</v>
      </c>
      <c r="HM427" t="s">
        <v>3</v>
      </c>
      <c r="HN427" t="s">
        <v>163</v>
      </c>
      <c r="HO427" t="s">
        <v>164</v>
      </c>
      <c r="HP427" t="s">
        <v>161</v>
      </c>
      <c r="HQ427" t="s">
        <v>161</v>
      </c>
      <c r="IK427">
        <v>0</v>
      </c>
    </row>
    <row r="428" spans="1:245" x14ac:dyDescent="0.2">
      <c r="A428">
        <v>18</v>
      </c>
      <c r="B428">
        <v>1</v>
      </c>
      <c r="C428">
        <v>354</v>
      </c>
      <c r="E428" t="s">
        <v>512</v>
      </c>
      <c r="F428" t="s">
        <v>513</v>
      </c>
      <c r="G428" t="s">
        <v>514</v>
      </c>
      <c r="H428" t="s">
        <v>52</v>
      </c>
      <c r="I428">
        <f>I427*J428</f>
        <v>0</v>
      </c>
      <c r="J428">
        <v>0</v>
      </c>
      <c r="K428">
        <v>0</v>
      </c>
      <c r="O428">
        <f t="shared" si="307"/>
        <v>0</v>
      </c>
      <c r="P428">
        <f t="shared" si="308"/>
        <v>0</v>
      </c>
      <c r="Q428">
        <f t="shared" si="309"/>
        <v>0</v>
      </c>
      <c r="R428">
        <f t="shared" si="310"/>
        <v>0</v>
      </c>
      <c r="S428">
        <f t="shared" si="311"/>
        <v>0</v>
      </c>
      <c r="T428">
        <f t="shared" si="312"/>
        <v>0</v>
      </c>
      <c r="U428">
        <f t="shared" si="313"/>
        <v>0</v>
      </c>
      <c r="V428">
        <f t="shared" si="314"/>
        <v>0</v>
      </c>
      <c r="W428">
        <f t="shared" si="315"/>
        <v>0</v>
      </c>
      <c r="X428">
        <f t="shared" si="316"/>
        <v>0</v>
      </c>
      <c r="Y428">
        <f t="shared" si="317"/>
        <v>0</v>
      </c>
      <c r="AA428">
        <v>94798619</v>
      </c>
      <c r="AB428">
        <f t="shared" si="318"/>
        <v>0</v>
      </c>
      <c r="AC428">
        <f t="shared" si="319"/>
        <v>0</v>
      </c>
      <c r="AD428">
        <f t="shared" si="320"/>
        <v>0</v>
      </c>
      <c r="AE428">
        <f t="shared" si="321"/>
        <v>0</v>
      </c>
      <c r="AF428">
        <f t="shared" si="322"/>
        <v>0</v>
      </c>
      <c r="AG428">
        <f t="shared" si="323"/>
        <v>0</v>
      </c>
      <c r="AH428">
        <f t="shared" si="324"/>
        <v>0</v>
      </c>
      <c r="AI428">
        <f t="shared" si="325"/>
        <v>0</v>
      </c>
      <c r="AJ428">
        <f t="shared" si="326"/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147</v>
      </c>
      <c r="AU428">
        <v>134</v>
      </c>
      <c r="AV428">
        <v>1</v>
      </c>
      <c r="AW428">
        <v>1</v>
      </c>
      <c r="AZ428">
        <v>1</v>
      </c>
      <c r="BA428">
        <v>1</v>
      </c>
      <c r="BB428">
        <v>1</v>
      </c>
      <c r="BC428">
        <v>1</v>
      </c>
      <c r="BD428" t="s">
        <v>3</v>
      </c>
      <c r="BE428" t="s">
        <v>3</v>
      </c>
      <c r="BF428" t="s">
        <v>3</v>
      </c>
      <c r="BG428" t="s">
        <v>3</v>
      </c>
      <c r="BH428">
        <v>3</v>
      </c>
      <c r="BI428">
        <v>1</v>
      </c>
      <c r="BJ428" t="s">
        <v>515</v>
      </c>
      <c r="BM428">
        <v>27001</v>
      </c>
      <c r="BN428">
        <v>0</v>
      </c>
      <c r="BO428" t="s">
        <v>3</v>
      </c>
      <c r="BP428">
        <v>0</v>
      </c>
      <c r="BQ428">
        <v>2</v>
      </c>
      <c r="BR428">
        <v>0</v>
      </c>
      <c r="BS428">
        <v>1</v>
      </c>
      <c r="BT428">
        <v>1</v>
      </c>
      <c r="BU428">
        <v>1</v>
      </c>
      <c r="BV428">
        <v>1</v>
      </c>
      <c r="BW428">
        <v>1</v>
      </c>
      <c r="BX428">
        <v>1</v>
      </c>
      <c r="BY428" t="s">
        <v>3</v>
      </c>
      <c r="BZ428">
        <v>147</v>
      </c>
      <c r="CA428">
        <v>134</v>
      </c>
      <c r="CB428" t="s">
        <v>3</v>
      </c>
      <c r="CE428">
        <v>0</v>
      </c>
      <c r="CF428">
        <v>0</v>
      </c>
      <c r="CG428">
        <v>0</v>
      </c>
      <c r="CM428">
        <v>0</v>
      </c>
      <c r="CN428" t="s">
        <v>3</v>
      </c>
      <c r="CO428">
        <v>0</v>
      </c>
      <c r="CP428">
        <f t="shared" si="327"/>
        <v>0</v>
      </c>
      <c r="CQ428">
        <f t="shared" si="328"/>
        <v>0</v>
      </c>
      <c r="CR428">
        <f t="shared" si="329"/>
        <v>0</v>
      </c>
      <c r="CS428">
        <f t="shared" si="330"/>
        <v>0</v>
      </c>
      <c r="CT428">
        <f t="shared" si="331"/>
        <v>0</v>
      </c>
      <c r="CU428">
        <f t="shared" si="332"/>
        <v>0</v>
      </c>
      <c r="CV428">
        <f t="shared" si="333"/>
        <v>0</v>
      </c>
      <c r="CW428">
        <f t="shared" si="334"/>
        <v>0</v>
      </c>
      <c r="CX428">
        <f t="shared" si="335"/>
        <v>0</v>
      </c>
      <c r="CY428">
        <f>(((S428+R428)*AT428)/100)</f>
        <v>0</v>
      </c>
      <c r="CZ428">
        <f>(((S428+R428)*AU428)/100)</f>
        <v>0</v>
      </c>
      <c r="DC428" t="s">
        <v>3</v>
      </c>
      <c r="DD428" t="s">
        <v>3</v>
      </c>
      <c r="DE428" t="s">
        <v>3</v>
      </c>
      <c r="DF428" t="s">
        <v>3</v>
      </c>
      <c r="DG428" t="s">
        <v>3</v>
      </c>
      <c r="DH428" t="s">
        <v>3</v>
      </c>
      <c r="DI428" t="s">
        <v>3</v>
      </c>
      <c r="DJ428" t="s">
        <v>3</v>
      </c>
      <c r="DK428" t="s">
        <v>3</v>
      </c>
      <c r="DL428" t="s">
        <v>3</v>
      </c>
      <c r="DM428" t="s">
        <v>3</v>
      </c>
      <c r="DN428">
        <v>0</v>
      </c>
      <c r="DO428">
        <v>0</v>
      </c>
      <c r="DP428">
        <v>1</v>
      </c>
      <c r="DQ428">
        <v>1</v>
      </c>
      <c r="DU428">
        <v>1007</v>
      </c>
      <c r="DV428" t="s">
        <v>52</v>
      </c>
      <c r="DW428" t="s">
        <v>52</v>
      </c>
      <c r="DX428">
        <v>1</v>
      </c>
      <c r="DZ428" t="s">
        <v>3</v>
      </c>
      <c r="EA428" t="s">
        <v>3</v>
      </c>
      <c r="EB428" t="s">
        <v>3</v>
      </c>
      <c r="EC428" t="s">
        <v>3</v>
      </c>
      <c r="EE428">
        <v>92109440</v>
      </c>
      <c r="EF428">
        <v>2</v>
      </c>
      <c r="EG428" t="s">
        <v>21</v>
      </c>
      <c r="EH428">
        <v>21</v>
      </c>
      <c r="EI428" t="s">
        <v>161</v>
      </c>
      <c r="EJ428">
        <v>1</v>
      </c>
      <c r="EK428">
        <v>27001</v>
      </c>
      <c r="EL428" t="s">
        <v>161</v>
      </c>
      <c r="EM428" t="s">
        <v>162</v>
      </c>
      <c r="EO428" t="s">
        <v>3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FQ428">
        <v>0</v>
      </c>
      <c r="FR428">
        <f t="shared" si="336"/>
        <v>0</v>
      </c>
      <c r="FS428">
        <v>0</v>
      </c>
      <c r="FX428">
        <v>147</v>
      </c>
      <c r="FY428">
        <v>134</v>
      </c>
      <c r="GA428" t="s">
        <v>3</v>
      </c>
      <c r="GD428">
        <v>1</v>
      </c>
      <c r="GF428">
        <v>1366811022</v>
      </c>
      <c r="GG428">
        <v>2</v>
      </c>
      <c r="GH428">
        <v>1</v>
      </c>
      <c r="GI428">
        <v>-2</v>
      </c>
      <c r="GJ428">
        <v>0</v>
      </c>
      <c r="GK428">
        <v>0</v>
      </c>
      <c r="GL428">
        <f t="shared" si="337"/>
        <v>0</v>
      </c>
      <c r="GM428">
        <f t="shared" si="338"/>
        <v>0</v>
      </c>
      <c r="GN428">
        <f t="shared" si="339"/>
        <v>0</v>
      </c>
      <c r="GO428">
        <f t="shared" si="340"/>
        <v>0</v>
      </c>
      <c r="GP428">
        <f t="shared" si="341"/>
        <v>0</v>
      </c>
      <c r="GR428">
        <v>0</v>
      </c>
      <c r="GS428">
        <v>3</v>
      </c>
      <c r="GT428">
        <v>0</v>
      </c>
      <c r="GU428" t="s">
        <v>3</v>
      </c>
      <c r="GV428">
        <f t="shared" si="342"/>
        <v>0</v>
      </c>
      <c r="GW428">
        <v>1</v>
      </c>
      <c r="GX428">
        <f t="shared" si="343"/>
        <v>0</v>
      </c>
      <c r="HA428">
        <v>0</v>
      </c>
      <c r="HB428">
        <v>0</v>
      </c>
      <c r="HC428">
        <f t="shared" si="344"/>
        <v>0</v>
      </c>
      <c r="HE428" t="s">
        <v>3</v>
      </c>
      <c r="HF428" t="s">
        <v>3</v>
      </c>
      <c r="HM428" t="s">
        <v>3</v>
      </c>
      <c r="HN428" t="s">
        <v>163</v>
      </c>
      <c r="HO428" t="s">
        <v>164</v>
      </c>
      <c r="HP428" t="s">
        <v>161</v>
      </c>
      <c r="HQ428" t="s">
        <v>161</v>
      </c>
      <c r="IK428">
        <v>0</v>
      </c>
    </row>
    <row r="429" spans="1:245" x14ac:dyDescent="0.2">
      <c r="A429">
        <v>17</v>
      </c>
      <c r="B429">
        <v>1</v>
      </c>
      <c r="E429" t="s">
        <v>516</v>
      </c>
      <c r="F429" t="s">
        <v>517</v>
      </c>
      <c r="G429" t="s">
        <v>518</v>
      </c>
      <c r="H429" t="s">
        <v>52</v>
      </c>
      <c r="I429">
        <v>4.95</v>
      </c>
      <c r="J429">
        <v>0</v>
      </c>
      <c r="K429">
        <v>4.95</v>
      </c>
      <c r="O429">
        <f t="shared" si="307"/>
        <v>4287.49</v>
      </c>
      <c r="P429">
        <f t="shared" si="308"/>
        <v>4287.49</v>
      </c>
      <c r="Q429">
        <f t="shared" si="309"/>
        <v>0</v>
      </c>
      <c r="R429">
        <f t="shared" si="310"/>
        <v>0</v>
      </c>
      <c r="S429">
        <f t="shared" si="311"/>
        <v>0</v>
      </c>
      <c r="T429">
        <f t="shared" si="312"/>
        <v>0</v>
      </c>
      <c r="U429">
        <f t="shared" si="313"/>
        <v>0</v>
      </c>
      <c r="V429">
        <f t="shared" si="314"/>
        <v>0</v>
      </c>
      <c r="W429">
        <f t="shared" si="315"/>
        <v>0</v>
      </c>
      <c r="X429">
        <f t="shared" si="316"/>
        <v>0</v>
      </c>
      <c r="Y429">
        <f t="shared" si="317"/>
        <v>0</v>
      </c>
      <c r="AA429">
        <v>94798619</v>
      </c>
      <c r="AB429">
        <f t="shared" si="318"/>
        <v>54</v>
      </c>
      <c r="AC429">
        <f t="shared" si="319"/>
        <v>54</v>
      </c>
      <c r="AD429">
        <f t="shared" si="320"/>
        <v>0</v>
      </c>
      <c r="AE429">
        <f t="shared" si="321"/>
        <v>0</v>
      </c>
      <c r="AF429">
        <f t="shared" si="322"/>
        <v>0</v>
      </c>
      <c r="AG429">
        <f t="shared" si="323"/>
        <v>0</v>
      </c>
      <c r="AH429">
        <f t="shared" si="324"/>
        <v>0</v>
      </c>
      <c r="AI429">
        <f t="shared" si="325"/>
        <v>0</v>
      </c>
      <c r="AJ429">
        <f t="shared" si="326"/>
        <v>0</v>
      </c>
      <c r="AK429">
        <v>54</v>
      </c>
      <c r="AL429">
        <v>54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1</v>
      </c>
      <c r="AW429">
        <v>1</v>
      </c>
      <c r="AZ429">
        <v>1</v>
      </c>
      <c r="BA429">
        <v>1</v>
      </c>
      <c r="BB429">
        <v>1</v>
      </c>
      <c r="BC429">
        <v>16.04</v>
      </c>
      <c r="BD429" t="s">
        <v>3</v>
      </c>
      <c r="BE429" t="s">
        <v>3</v>
      </c>
      <c r="BF429" t="s">
        <v>3</v>
      </c>
      <c r="BG429" t="s">
        <v>3</v>
      </c>
      <c r="BH429">
        <v>3</v>
      </c>
      <c r="BI429">
        <v>1</v>
      </c>
      <c r="BJ429" t="s">
        <v>519</v>
      </c>
      <c r="BM429">
        <v>500001</v>
      </c>
      <c r="BN429">
        <v>0</v>
      </c>
      <c r="BO429" t="s">
        <v>517</v>
      </c>
      <c r="BP429">
        <v>1</v>
      </c>
      <c r="BQ429">
        <v>8</v>
      </c>
      <c r="BR429">
        <v>0</v>
      </c>
      <c r="BS429">
        <v>1</v>
      </c>
      <c r="BT429">
        <v>1</v>
      </c>
      <c r="BU429">
        <v>1</v>
      </c>
      <c r="BV429">
        <v>1</v>
      </c>
      <c r="BW429">
        <v>1</v>
      </c>
      <c r="BX429">
        <v>1</v>
      </c>
      <c r="BY429" t="s">
        <v>3</v>
      </c>
      <c r="BZ429">
        <v>0</v>
      </c>
      <c r="CA429">
        <v>0</v>
      </c>
      <c r="CB429" t="s">
        <v>3</v>
      </c>
      <c r="CE429">
        <v>0</v>
      </c>
      <c r="CF429">
        <v>0</v>
      </c>
      <c r="CG429">
        <v>0</v>
      </c>
      <c r="CM429">
        <v>0</v>
      </c>
      <c r="CN429" t="s">
        <v>3</v>
      </c>
      <c r="CO429">
        <v>0</v>
      </c>
      <c r="CP429">
        <f t="shared" si="327"/>
        <v>4287.49</v>
      </c>
      <c r="CQ429">
        <f t="shared" si="328"/>
        <v>866.16</v>
      </c>
      <c r="CR429">
        <f t="shared" si="329"/>
        <v>0</v>
      </c>
      <c r="CS429">
        <f t="shared" si="330"/>
        <v>0</v>
      </c>
      <c r="CT429">
        <f t="shared" si="331"/>
        <v>0</v>
      </c>
      <c r="CU429">
        <f t="shared" si="332"/>
        <v>0</v>
      </c>
      <c r="CV429">
        <f t="shared" si="333"/>
        <v>0</v>
      </c>
      <c r="CW429">
        <f t="shared" si="334"/>
        <v>0</v>
      </c>
      <c r="CX429">
        <f t="shared" si="335"/>
        <v>0</v>
      </c>
      <c r="CY429">
        <f>0</f>
        <v>0</v>
      </c>
      <c r="CZ429">
        <f>0</f>
        <v>0</v>
      </c>
      <c r="DC429" t="s">
        <v>3</v>
      </c>
      <c r="DD429" t="s">
        <v>3</v>
      </c>
      <c r="DE429" t="s">
        <v>3</v>
      </c>
      <c r="DF429" t="s">
        <v>3</v>
      </c>
      <c r="DG429" t="s">
        <v>3</v>
      </c>
      <c r="DH429" t="s">
        <v>3</v>
      </c>
      <c r="DI429" t="s">
        <v>3</v>
      </c>
      <c r="DJ429" t="s">
        <v>3</v>
      </c>
      <c r="DK429" t="s">
        <v>3</v>
      </c>
      <c r="DL429" t="s">
        <v>3</v>
      </c>
      <c r="DM429" t="s">
        <v>3</v>
      </c>
      <c r="DN429">
        <v>0</v>
      </c>
      <c r="DO429">
        <v>0</v>
      </c>
      <c r="DP429">
        <v>1</v>
      </c>
      <c r="DQ429">
        <v>1</v>
      </c>
      <c r="DU429">
        <v>1007</v>
      </c>
      <c r="DV429" t="s">
        <v>52</v>
      </c>
      <c r="DW429" t="s">
        <v>52</v>
      </c>
      <c r="DX429">
        <v>1</v>
      </c>
      <c r="DZ429" t="s">
        <v>3</v>
      </c>
      <c r="EA429" t="s">
        <v>3</v>
      </c>
      <c r="EB429" t="s">
        <v>3</v>
      </c>
      <c r="EC429" t="s">
        <v>3</v>
      </c>
      <c r="EE429">
        <v>92109332</v>
      </c>
      <c r="EF429">
        <v>8</v>
      </c>
      <c r="EG429" t="s">
        <v>154</v>
      </c>
      <c r="EH429">
        <v>0</v>
      </c>
      <c r="EI429" t="s">
        <v>3</v>
      </c>
      <c r="EJ429">
        <v>1</v>
      </c>
      <c r="EK429">
        <v>500001</v>
      </c>
      <c r="EL429" t="s">
        <v>155</v>
      </c>
      <c r="EM429" t="s">
        <v>156</v>
      </c>
      <c r="EO429" t="s">
        <v>3</v>
      </c>
      <c r="EQ429">
        <v>0</v>
      </c>
      <c r="ER429">
        <v>54</v>
      </c>
      <c r="ES429">
        <v>54</v>
      </c>
      <c r="ET429">
        <v>0</v>
      </c>
      <c r="EU429">
        <v>0</v>
      </c>
      <c r="EV429">
        <v>0</v>
      </c>
      <c r="EW429">
        <v>0</v>
      </c>
      <c r="EX429">
        <v>0</v>
      </c>
      <c r="EY429">
        <v>0</v>
      </c>
      <c r="FQ429">
        <v>0</v>
      </c>
      <c r="FR429">
        <f t="shared" si="336"/>
        <v>0</v>
      </c>
      <c r="FS429">
        <v>0</v>
      </c>
      <c r="FX429">
        <v>0</v>
      </c>
      <c r="FY429">
        <v>0</v>
      </c>
      <c r="GA429" t="s">
        <v>3</v>
      </c>
      <c r="GD429">
        <v>1</v>
      </c>
      <c r="GF429">
        <v>-659917486</v>
      </c>
      <c r="GG429">
        <v>2</v>
      </c>
      <c r="GH429">
        <v>1</v>
      </c>
      <c r="GI429">
        <v>2</v>
      </c>
      <c r="GJ429">
        <v>0</v>
      </c>
      <c r="GK429">
        <v>0</v>
      </c>
      <c r="GL429">
        <f t="shared" si="337"/>
        <v>0</v>
      </c>
      <c r="GM429">
        <f t="shared" si="338"/>
        <v>4287.49</v>
      </c>
      <c r="GN429">
        <f t="shared" si="339"/>
        <v>4287.49</v>
      </c>
      <c r="GO429">
        <f t="shared" si="340"/>
        <v>0</v>
      </c>
      <c r="GP429">
        <f t="shared" si="341"/>
        <v>0</v>
      </c>
      <c r="GR429">
        <v>0</v>
      </c>
      <c r="GS429">
        <v>3</v>
      </c>
      <c r="GT429">
        <v>0</v>
      </c>
      <c r="GU429" t="s">
        <v>3</v>
      </c>
      <c r="GV429">
        <f t="shared" si="342"/>
        <v>0</v>
      </c>
      <c r="GW429">
        <v>1</v>
      </c>
      <c r="GX429">
        <f t="shared" si="343"/>
        <v>0</v>
      </c>
      <c r="HA429">
        <v>0</v>
      </c>
      <c r="HB429">
        <v>0</v>
      </c>
      <c r="HC429">
        <f t="shared" si="344"/>
        <v>0</v>
      </c>
      <c r="HE429" t="s">
        <v>3</v>
      </c>
      <c r="HF429" t="s">
        <v>3</v>
      </c>
      <c r="HM429" t="s">
        <v>3</v>
      </c>
      <c r="HN429" t="s">
        <v>3</v>
      </c>
      <c r="HO429" t="s">
        <v>3</v>
      </c>
      <c r="HP429" t="s">
        <v>3</v>
      </c>
      <c r="HQ429" t="s">
        <v>3</v>
      </c>
      <c r="IK429">
        <v>0</v>
      </c>
    </row>
    <row r="430" spans="1:245" x14ac:dyDescent="0.2">
      <c r="A430">
        <v>17</v>
      </c>
      <c r="B430">
        <v>1</v>
      </c>
      <c r="C430">
        <f>ROW(SmtRes!A367)</f>
        <v>367</v>
      </c>
      <c r="D430">
        <f>ROW(EtalonRes!A367)</f>
        <v>367</v>
      </c>
      <c r="E430" t="s">
        <v>520</v>
      </c>
      <c r="F430" t="s">
        <v>521</v>
      </c>
      <c r="G430" t="s">
        <v>522</v>
      </c>
      <c r="H430" t="s">
        <v>523</v>
      </c>
      <c r="I430">
        <f>ROUND(30/1000,9)</f>
        <v>0.03</v>
      </c>
      <c r="J430">
        <v>0</v>
      </c>
      <c r="K430">
        <f>ROUND(30/1000,9)</f>
        <v>0.03</v>
      </c>
      <c r="O430">
        <f t="shared" si="307"/>
        <v>25191.84</v>
      </c>
      <c r="P430">
        <f t="shared" si="308"/>
        <v>22121.61</v>
      </c>
      <c r="Q430">
        <f t="shared" si="309"/>
        <v>2771.85</v>
      </c>
      <c r="R430">
        <f t="shared" si="310"/>
        <v>518.89</v>
      </c>
      <c r="S430">
        <f t="shared" si="311"/>
        <v>298.38</v>
      </c>
      <c r="T430">
        <f t="shared" si="312"/>
        <v>0</v>
      </c>
      <c r="U430">
        <f t="shared" si="313"/>
        <v>1.1088</v>
      </c>
      <c r="V430">
        <f t="shared" si="314"/>
        <v>1.2585</v>
      </c>
      <c r="W430">
        <f t="shared" si="315"/>
        <v>0</v>
      </c>
      <c r="X430">
        <f t="shared" si="316"/>
        <v>1201.3900000000001</v>
      </c>
      <c r="Y430">
        <f t="shared" si="317"/>
        <v>1095.1400000000001</v>
      </c>
      <c r="AA430">
        <v>94798619</v>
      </c>
      <c r="AB430">
        <f t="shared" si="318"/>
        <v>56835.13</v>
      </c>
      <c r="AC430">
        <f t="shared" si="319"/>
        <v>52708.14</v>
      </c>
      <c r="AD430">
        <f t="shared" si="320"/>
        <v>3844.99</v>
      </c>
      <c r="AE430">
        <f t="shared" si="321"/>
        <v>490.4</v>
      </c>
      <c r="AF430">
        <f t="shared" si="322"/>
        <v>282</v>
      </c>
      <c r="AG430">
        <f t="shared" si="323"/>
        <v>0</v>
      </c>
      <c r="AH430">
        <f t="shared" si="324"/>
        <v>36.96</v>
      </c>
      <c r="AI430">
        <f t="shared" si="325"/>
        <v>41.95</v>
      </c>
      <c r="AJ430">
        <f t="shared" si="326"/>
        <v>0</v>
      </c>
      <c r="AK430">
        <v>56835.13</v>
      </c>
      <c r="AL430">
        <v>52708.14</v>
      </c>
      <c r="AM430">
        <v>3844.99</v>
      </c>
      <c r="AN430">
        <v>490.4</v>
      </c>
      <c r="AO430">
        <v>282</v>
      </c>
      <c r="AP430">
        <v>0</v>
      </c>
      <c r="AQ430">
        <v>36.96</v>
      </c>
      <c r="AR430">
        <v>41.95</v>
      </c>
      <c r="AS430">
        <v>0</v>
      </c>
      <c r="AT430">
        <v>147</v>
      </c>
      <c r="AU430">
        <v>134</v>
      </c>
      <c r="AV430">
        <v>1</v>
      </c>
      <c r="AW430">
        <v>1</v>
      </c>
      <c r="AZ430">
        <v>1</v>
      </c>
      <c r="BA430">
        <v>35.270000000000003</v>
      </c>
      <c r="BB430">
        <v>24.03</v>
      </c>
      <c r="BC430">
        <v>13.99</v>
      </c>
      <c r="BD430" t="s">
        <v>3</v>
      </c>
      <c r="BE430" t="s">
        <v>3</v>
      </c>
      <c r="BF430" t="s">
        <v>3</v>
      </c>
      <c r="BG430" t="s">
        <v>3</v>
      </c>
      <c r="BH430">
        <v>0</v>
      </c>
      <c r="BI430">
        <v>1</v>
      </c>
      <c r="BJ430" t="s">
        <v>524</v>
      </c>
      <c r="BM430">
        <v>27001</v>
      </c>
      <c r="BN430">
        <v>0</v>
      </c>
      <c r="BO430" t="s">
        <v>521</v>
      </c>
      <c r="BP430">
        <v>1</v>
      </c>
      <c r="BQ430">
        <v>2</v>
      </c>
      <c r="BR430">
        <v>0</v>
      </c>
      <c r="BS430">
        <v>35.270000000000003</v>
      </c>
      <c r="BT430">
        <v>1</v>
      </c>
      <c r="BU430">
        <v>1</v>
      </c>
      <c r="BV430">
        <v>1</v>
      </c>
      <c r="BW430">
        <v>1</v>
      </c>
      <c r="BX430">
        <v>1</v>
      </c>
      <c r="BY430" t="s">
        <v>3</v>
      </c>
      <c r="BZ430">
        <v>147</v>
      </c>
      <c r="CA430">
        <v>134</v>
      </c>
      <c r="CB430" t="s">
        <v>3</v>
      </c>
      <c r="CE430">
        <v>0</v>
      </c>
      <c r="CF430">
        <v>0</v>
      </c>
      <c r="CG430">
        <v>0</v>
      </c>
      <c r="CM430">
        <v>0</v>
      </c>
      <c r="CN430" t="s">
        <v>3</v>
      </c>
      <c r="CO430">
        <v>0</v>
      </c>
      <c r="CP430">
        <f t="shared" si="327"/>
        <v>25191.84</v>
      </c>
      <c r="CQ430">
        <f t="shared" si="328"/>
        <v>737386.87860000005</v>
      </c>
      <c r="CR430">
        <f t="shared" si="329"/>
        <v>92395.109700000001</v>
      </c>
      <c r="CS430">
        <f t="shared" si="330"/>
        <v>17296.407999999999</v>
      </c>
      <c r="CT430">
        <f t="shared" si="331"/>
        <v>9946.1400000000012</v>
      </c>
      <c r="CU430">
        <f t="shared" si="332"/>
        <v>0</v>
      </c>
      <c r="CV430">
        <f t="shared" si="333"/>
        <v>36.96</v>
      </c>
      <c r="CW430">
        <f t="shared" si="334"/>
        <v>41.95</v>
      </c>
      <c r="CX430">
        <f t="shared" si="335"/>
        <v>0</v>
      </c>
      <c r="CY430">
        <f>(((S430+R430)*AT430)/100)</f>
        <v>1201.3869</v>
      </c>
      <c r="CZ430">
        <f>(((S430+R430)*AU430)/100)</f>
        <v>1095.1417999999999</v>
      </c>
      <c r="DC430" t="s">
        <v>3</v>
      </c>
      <c r="DD430" t="s">
        <v>3</v>
      </c>
      <c r="DE430" t="s">
        <v>3</v>
      </c>
      <c r="DF430" t="s">
        <v>3</v>
      </c>
      <c r="DG430" t="s">
        <v>3</v>
      </c>
      <c r="DH430" t="s">
        <v>3</v>
      </c>
      <c r="DI430" t="s">
        <v>3</v>
      </c>
      <c r="DJ430" t="s">
        <v>3</v>
      </c>
      <c r="DK430" t="s">
        <v>3</v>
      </c>
      <c r="DL430" t="s">
        <v>3</v>
      </c>
      <c r="DM430" t="s">
        <v>3</v>
      </c>
      <c r="DN430">
        <v>0</v>
      </c>
      <c r="DO430">
        <v>0</v>
      </c>
      <c r="DP430">
        <v>1</v>
      </c>
      <c r="DQ430">
        <v>1</v>
      </c>
      <c r="DU430">
        <v>1013</v>
      </c>
      <c r="DV430" t="s">
        <v>523</v>
      </c>
      <c r="DW430" t="s">
        <v>523</v>
      </c>
      <c r="DX430">
        <v>1</v>
      </c>
      <c r="DZ430" t="s">
        <v>3</v>
      </c>
      <c r="EA430" t="s">
        <v>3</v>
      </c>
      <c r="EB430" t="s">
        <v>3</v>
      </c>
      <c r="EC430" t="s">
        <v>3</v>
      </c>
      <c r="EE430">
        <v>92109440</v>
      </c>
      <c r="EF430">
        <v>2</v>
      </c>
      <c r="EG430" t="s">
        <v>21</v>
      </c>
      <c r="EH430">
        <v>21</v>
      </c>
      <c r="EI430" t="s">
        <v>161</v>
      </c>
      <c r="EJ430">
        <v>1</v>
      </c>
      <c r="EK430">
        <v>27001</v>
      </c>
      <c r="EL430" t="s">
        <v>161</v>
      </c>
      <c r="EM430" t="s">
        <v>162</v>
      </c>
      <c r="EO430" t="s">
        <v>3</v>
      </c>
      <c r="EQ430">
        <v>0</v>
      </c>
      <c r="ER430">
        <v>56835.13</v>
      </c>
      <c r="ES430">
        <v>52708.14</v>
      </c>
      <c r="ET430">
        <v>3844.99</v>
      </c>
      <c r="EU430">
        <v>490.4</v>
      </c>
      <c r="EV430">
        <v>282</v>
      </c>
      <c r="EW430">
        <v>36.96</v>
      </c>
      <c r="EX430">
        <v>41.95</v>
      </c>
      <c r="EY430">
        <v>0</v>
      </c>
      <c r="FQ430">
        <v>0</v>
      </c>
      <c r="FR430">
        <f t="shared" si="336"/>
        <v>0</v>
      </c>
      <c r="FS430">
        <v>0</v>
      </c>
      <c r="FX430">
        <v>147</v>
      </c>
      <c r="FY430">
        <v>134</v>
      </c>
      <c r="GA430" t="s">
        <v>3</v>
      </c>
      <c r="GD430">
        <v>1</v>
      </c>
      <c r="GF430">
        <v>-516810899</v>
      </c>
      <c r="GG430">
        <v>2</v>
      </c>
      <c r="GH430">
        <v>1</v>
      </c>
      <c r="GI430">
        <v>2</v>
      </c>
      <c r="GJ430">
        <v>0</v>
      </c>
      <c r="GK430">
        <v>0</v>
      </c>
      <c r="GL430">
        <f t="shared" si="337"/>
        <v>0</v>
      </c>
      <c r="GM430">
        <f t="shared" si="338"/>
        <v>27488.37</v>
      </c>
      <c r="GN430">
        <f t="shared" si="339"/>
        <v>27488.37</v>
      </c>
      <c r="GO430">
        <f t="shared" si="340"/>
        <v>0</v>
      </c>
      <c r="GP430">
        <f t="shared" si="341"/>
        <v>0</v>
      </c>
      <c r="GR430">
        <v>0</v>
      </c>
      <c r="GS430">
        <v>3</v>
      </c>
      <c r="GT430">
        <v>0</v>
      </c>
      <c r="GU430" t="s">
        <v>3</v>
      </c>
      <c r="GV430">
        <f t="shared" si="342"/>
        <v>0</v>
      </c>
      <c r="GW430">
        <v>1</v>
      </c>
      <c r="GX430">
        <f t="shared" si="343"/>
        <v>0</v>
      </c>
      <c r="HA430">
        <v>0</v>
      </c>
      <c r="HB430">
        <v>0</v>
      </c>
      <c r="HC430">
        <f t="shared" si="344"/>
        <v>0</v>
      </c>
      <c r="HE430" t="s">
        <v>3</v>
      </c>
      <c r="HF430" t="s">
        <v>3</v>
      </c>
      <c r="HM430" t="s">
        <v>3</v>
      </c>
      <c r="HN430" t="s">
        <v>163</v>
      </c>
      <c r="HO430" t="s">
        <v>164</v>
      </c>
      <c r="HP430" t="s">
        <v>161</v>
      </c>
      <c r="HQ430" t="s">
        <v>161</v>
      </c>
      <c r="IK430">
        <v>0</v>
      </c>
    </row>
    <row r="431" spans="1:245" x14ac:dyDescent="0.2">
      <c r="A431">
        <v>17</v>
      </c>
      <c r="B431">
        <v>1</v>
      </c>
      <c r="C431">
        <f>ROW(SmtRes!A370)</f>
        <v>370</v>
      </c>
      <c r="D431">
        <f>ROW(EtalonRes!A370)</f>
        <v>370</v>
      </c>
      <c r="E431" t="s">
        <v>525</v>
      </c>
      <c r="F431" t="s">
        <v>526</v>
      </c>
      <c r="G431" t="s">
        <v>527</v>
      </c>
      <c r="H431" t="s">
        <v>345</v>
      </c>
      <c r="I431">
        <v>2.1000000000000001E-2</v>
      </c>
      <c r="J431">
        <v>0</v>
      </c>
      <c r="K431">
        <v>2.1000000000000001E-2</v>
      </c>
      <c r="O431">
        <f t="shared" si="307"/>
        <v>849.81</v>
      </c>
      <c r="P431">
        <f t="shared" si="308"/>
        <v>839.11</v>
      </c>
      <c r="Q431">
        <f t="shared" si="309"/>
        <v>10.7</v>
      </c>
      <c r="R431">
        <f t="shared" si="310"/>
        <v>4.7300000000000004</v>
      </c>
      <c r="S431">
        <f t="shared" si="311"/>
        <v>0</v>
      </c>
      <c r="T431">
        <f t="shared" si="312"/>
        <v>0</v>
      </c>
      <c r="U431">
        <f t="shared" si="313"/>
        <v>0</v>
      </c>
      <c r="V431">
        <f t="shared" si="314"/>
        <v>1.3860000000000001E-2</v>
      </c>
      <c r="W431">
        <f t="shared" si="315"/>
        <v>0</v>
      </c>
      <c r="X431">
        <f t="shared" si="316"/>
        <v>6.95</v>
      </c>
      <c r="Y431">
        <f t="shared" si="317"/>
        <v>6.34</v>
      </c>
      <c r="AA431">
        <v>94798619</v>
      </c>
      <c r="AB431">
        <f t="shared" si="318"/>
        <v>1847.04</v>
      </c>
      <c r="AC431">
        <f t="shared" si="319"/>
        <v>1805.59</v>
      </c>
      <c r="AD431">
        <f t="shared" si="320"/>
        <v>41.45</v>
      </c>
      <c r="AE431">
        <f t="shared" si="321"/>
        <v>6.39</v>
      </c>
      <c r="AF431">
        <f t="shared" si="322"/>
        <v>0</v>
      </c>
      <c r="AG431">
        <f t="shared" si="323"/>
        <v>0</v>
      </c>
      <c r="AH431">
        <f t="shared" si="324"/>
        <v>0</v>
      </c>
      <c r="AI431">
        <f t="shared" si="325"/>
        <v>0.66</v>
      </c>
      <c r="AJ431">
        <f t="shared" si="326"/>
        <v>0</v>
      </c>
      <c r="AK431">
        <v>1847.04</v>
      </c>
      <c r="AL431">
        <v>1805.59</v>
      </c>
      <c r="AM431">
        <v>41.45</v>
      </c>
      <c r="AN431">
        <v>6.39</v>
      </c>
      <c r="AO431">
        <v>0</v>
      </c>
      <c r="AP431">
        <v>0</v>
      </c>
      <c r="AQ431">
        <v>0</v>
      </c>
      <c r="AR431">
        <v>0.66</v>
      </c>
      <c r="AS431">
        <v>0</v>
      </c>
      <c r="AT431">
        <v>147</v>
      </c>
      <c r="AU431">
        <v>134</v>
      </c>
      <c r="AV431">
        <v>1</v>
      </c>
      <c r="AW431">
        <v>1</v>
      </c>
      <c r="AZ431">
        <v>1</v>
      </c>
      <c r="BA431">
        <v>35.270000000000003</v>
      </c>
      <c r="BB431">
        <v>12.29</v>
      </c>
      <c r="BC431">
        <v>22.13</v>
      </c>
      <c r="BD431" t="s">
        <v>3</v>
      </c>
      <c r="BE431" t="s">
        <v>3</v>
      </c>
      <c r="BF431" t="s">
        <v>3</v>
      </c>
      <c r="BG431" t="s">
        <v>3</v>
      </c>
      <c r="BH431">
        <v>0</v>
      </c>
      <c r="BI431">
        <v>1</v>
      </c>
      <c r="BJ431" t="s">
        <v>528</v>
      </c>
      <c r="BM431">
        <v>27001</v>
      </c>
      <c r="BN431">
        <v>0</v>
      </c>
      <c r="BO431" t="s">
        <v>526</v>
      </c>
      <c r="BP431">
        <v>1</v>
      </c>
      <c r="BQ431">
        <v>2</v>
      </c>
      <c r="BR431">
        <v>0</v>
      </c>
      <c r="BS431">
        <v>35.270000000000003</v>
      </c>
      <c r="BT431">
        <v>1</v>
      </c>
      <c r="BU431">
        <v>1</v>
      </c>
      <c r="BV431">
        <v>1</v>
      </c>
      <c r="BW431">
        <v>1</v>
      </c>
      <c r="BX431">
        <v>1</v>
      </c>
      <c r="BY431" t="s">
        <v>3</v>
      </c>
      <c r="BZ431">
        <v>147</v>
      </c>
      <c r="CA431">
        <v>134</v>
      </c>
      <c r="CB431" t="s">
        <v>3</v>
      </c>
      <c r="CE431">
        <v>0</v>
      </c>
      <c r="CF431">
        <v>0</v>
      </c>
      <c r="CG431">
        <v>0</v>
      </c>
      <c r="CM431">
        <v>0</v>
      </c>
      <c r="CN431" t="s">
        <v>3</v>
      </c>
      <c r="CO431">
        <v>0</v>
      </c>
      <c r="CP431">
        <f t="shared" si="327"/>
        <v>849.81000000000006</v>
      </c>
      <c r="CQ431">
        <f t="shared" si="328"/>
        <v>39957.706699999995</v>
      </c>
      <c r="CR431">
        <f t="shared" si="329"/>
        <v>509.42050000000006</v>
      </c>
      <c r="CS431">
        <f t="shared" si="330"/>
        <v>225.37530000000001</v>
      </c>
      <c r="CT431">
        <f t="shared" si="331"/>
        <v>0</v>
      </c>
      <c r="CU431">
        <f t="shared" si="332"/>
        <v>0</v>
      </c>
      <c r="CV431">
        <f t="shared" si="333"/>
        <v>0</v>
      </c>
      <c r="CW431">
        <f t="shared" si="334"/>
        <v>0.66</v>
      </c>
      <c r="CX431">
        <f t="shared" si="335"/>
        <v>0</v>
      </c>
      <c r="CY431">
        <f>(((S431+R431)*AT431)/100)</f>
        <v>6.9531000000000009</v>
      </c>
      <c r="CZ431">
        <f>(((S431+R431)*AU431)/100)</f>
        <v>6.3382000000000005</v>
      </c>
      <c r="DC431" t="s">
        <v>3</v>
      </c>
      <c r="DD431" t="s">
        <v>3</v>
      </c>
      <c r="DE431" t="s">
        <v>3</v>
      </c>
      <c r="DF431" t="s">
        <v>3</v>
      </c>
      <c r="DG431" t="s">
        <v>3</v>
      </c>
      <c r="DH431" t="s">
        <v>3</v>
      </c>
      <c r="DI431" t="s">
        <v>3</v>
      </c>
      <c r="DJ431" t="s">
        <v>3</v>
      </c>
      <c r="DK431" t="s">
        <v>3</v>
      </c>
      <c r="DL431" t="s">
        <v>3</v>
      </c>
      <c r="DM431" t="s">
        <v>3</v>
      </c>
      <c r="DN431">
        <v>0</v>
      </c>
      <c r="DO431">
        <v>0</v>
      </c>
      <c r="DP431">
        <v>1</v>
      </c>
      <c r="DQ431">
        <v>1</v>
      </c>
      <c r="DU431">
        <v>1013</v>
      </c>
      <c r="DV431" t="s">
        <v>345</v>
      </c>
      <c r="DW431" t="s">
        <v>345</v>
      </c>
      <c r="DX431">
        <v>1</v>
      </c>
      <c r="DZ431" t="s">
        <v>3</v>
      </c>
      <c r="EA431" t="s">
        <v>3</v>
      </c>
      <c r="EB431" t="s">
        <v>3</v>
      </c>
      <c r="EC431" t="s">
        <v>3</v>
      </c>
      <c r="EE431">
        <v>92109440</v>
      </c>
      <c r="EF431">
        <v>2</v>
      </c>
      <c r="EG431" t="s">
        <v>21</v>
      </c>
      <c r="EH431">
        <v>21</v>
      </c>
      <c r="EI431" t="s">
        <v>161</v>
      </c>
      <c r="EJ431">
        <v>1</v>
      </c>
      <c r="EK431">
        <v>27001</v>
      </c>
      <c r="EL431" t="s">
        <v>161</v>
      </c>
      <c r="EM431" t="s">
        <v>162</v>
      </c>
      <c r="EO431" t="s">
        <v>3</v>
      </c>
      <c r="EQ431">
        <v>0</v>
      </c>
      <c r="ER431">
        <v>1847.04</v>
      </c>
      <c r="ES431">
        <v>1805.59</v>
      </c>
      <c r="ET431">
        <v>41.45</v>
      </c>
      <c r="EU431">
        <v>6.39</v>
      </c>
      <c r="EV431">
        <v>0</v>
      </c>
      <c r="EW431">
        <v>0</v>
      </c>
      <c r="EX431">
        <v>0.66</v>
      </c>
      <c r="EY431">
        <v>0</v>
      </c>
      <c r="FQ431">
        <v>0</v>
      </c>
      <c r="FR431">
        <f t="shared" si="336"/>
        <v>0</v>
      </c>
      <c r="FS431">
        <v>0</v>
      </c>
      <c r="FX431">
        <v>147</v>
      </c>
      <c r="FY431">
        <v>134</v>
      </c>
      <c r="GA431" t="s">
        <v>3</v>
      </c>
      <c r="GD431">
        <v>1</v>
      </c>
      <c r="GF431">
        <v>-969592258</v>
      </c>
      <c r="GG431">
        <v>2</v>
      </c>
      <c r="GH431">
        <v>1</v>
      </c>
      <c r="GI431">
        <v>2</v>
      </c>
      <c r="GJ431">
        <v>0</v>
      </c>
      <c r="GK431">
        <v>0</v>
      </c>
      <c r="GL431">
        <f t="shared" si="337"/>
        <v>0</v>
      </c>
      <c r="GM431">
        <f t="shared" si="338"/>
        <v>863.1</v>
      </c>
      <c r="GN431">
        <f t="shared" si="339"/>
        <v>863.1</v>
      </c>
      <c r="GO431">
        <f t="shared" si="340"/>
        <v>0</v>
      </c>
      <c r="GP431">
        <f t="shared" si="341"/>
        <v>0</v>
      </c>
      <c r="GR431">
        <v>0</v>
      </c>
      <c r="GS431">
        <v>3</v>
      </c>
      <c r="GT431">
        <v>0</v>
      </c>
      <c r="GU431" t="s">
        <v>3</v>
      </c>
      <c r="GV431">
        <f t="shared" si="342"/>
        <v>0</v>
      </c>
      <c r="GW431">
        <v>1</v>
      </c>
      <c r="GX431">
        <f t="shared" si="343"/>
        <v>0</v>
      </c>
      <c r="HA431">
        <v>0</v>
      </c>
      <c r="HB431">
        <v>0</v>
      </c>
      <c r="HC431">
        <f t="shared" si="344"/>
        <v>0</v>
      </c>
      <c r="HE431" t="s">
        <v>3</v>
      </c>
      <c r="HF431" t="s">
        <v>3</v>
      </c>
      <c r="HM431" t="s">
        <v>3</v>
      </c>
      <c r="HN431" t="s">
        <v>163</v>
      </c>
      <c r="HO431" t="s">
        <v>164</v>
      </c>
      <c r="HP431" t="s">
        <v>161</v>
      </c>
      <c r="HQ431" t="s">
        <v>161</v>
      </c>
      <c r="IK431">
        <v>0</v>
      </c>
    </row>
    <row r="432" spans="1:245" x14ac:dyDescent="0.2">
      <c r="A432">
        <v>17</v>
      </c>
      <c r="B432">
        <v>1</v>
      </c>
      <c r="C432">
        <f>ROW(SmtRes!A396)</f>
        <v>396</v>
      </c>
      <c r="D432">
        <f>ROW(EtalonRes!A396)</f>
        <v>396</v>
      </c>
      <c r="E432" t="s">
        <v>529</v>
      </c>
      <c r="F432" t="s">
        <v>530</v>
      </c>
      <c r="G432" t="s">
        <v>531</v>
      </c>
      <c r="H432" t="s">
        <v>532</v>
      </c>
      <c r="I432">
        <f>ROUND(30/1000,9)</f>
        <v>0.03</v>
      </c>
      <c r="J432">
        <v>0</v>
      </c>
      <c r="K432">
        <f>ROUND(30/1000,9)</f>
        <v>0.03</v>
      </c>
      <c r="O432">
        <f t="shared" si="307"/>
        <v>3519.71</v>
      </c>
      <c r="P432">
        <f t="shared" si="308"/>
        <v>1002.28</v>
      </c>
      <c r="Q432">
        <f t="shared" si="309"/>
        <v>2149.54</v>
      </c>
      <c r="R432">
        <f t="shared" si="310"/>
        <v>318.20999999999998</v>
      </c>
      <c r="S432">
        <f t="shared" si="311"/>
        <v>367.89</v>
      </c>
      <c r="T432">
        <f t="shared" si="312"/>
        <v>0</v>
      </c>
      <c r="U432">
        <f t="shared" si="313"/>
        <v>1.2446999999999999</v>
      </c>
      <c r="V432">
        <f t="shared" si="314"/>
        <v>0.7619999999999999</v>
      </c>
      <c r="W432">
        <f t="shared" si="315"/>
        <v>0</v>
      </c>
      <c r="X432">
        <f t="shared" si="316"/>
        <v>1008.57</v>
      </c>
      <c r="Y432">
        <f t="shared" si="317"/>
        <v>919.37</v>
      </c>
      <c r="AA432">
        <v>94798619</v>
      </c>
      <c r="AB432">
        <f t="shared" si="318"/>
        <v>12932.19</v>
      </c>
      <c r="AC432">
        <f t="shared" si="319"/>
        <v>1578.14</v>
      </c>
      <c r="AD432">
        <f t="shared" si="320"/>
        <v>11006.36</v>
      </c>
      <c r="AE432">
        <f t="shared" si="321"/>
        <v>300.74</v>
      </c>
      <c r="AF432">
        <f t="shared" si="322"/>
        <v>347.69</v>
      </c>
      <c r="AG432">
        <f t="shared" si="323"/>
        <v>0</v>
      </c>
      <c r="AH432">
        <f t="shared" si="324"/>
        <v>41.49</v>
      </c>
      <c r="AI432">
        <f t="shared" si="325"/>
        <v>25.4</v>
      </c>
      <c r="AJ432">
        <f t="shared" si="326"/>
        <v>0</v>
      </c>
      <c r="AK432">
        <v>12932.19</v>
      </c>
      <c r="AL432">
        <v>1578.14</v>
      </c>
      <c r="AM432">
        <v>11006.36</v>
      </c>
      <c r="AN432">
        <v>300.74</v>
      </c>
      <c r="AO432">
        <v>347.69</v>
      </c>
      <c r="AP432">
        <v>0</v>
      </c>
      <c r="AQ432">
        <v>41.49</v>
      </c>
      <c r="AR432">
        <v>25.4</v>
      </c>
      <c r="AS432">
        <v>0</v>
      </c>
      <c r="AT432">
        <v>147</v>
      </c>
      <c r="AU432">
        <v>134</v>
      </c>
      <c r="AV432">
        <v>1</v>
      </c>
      <c r="AW432">
        <v>1</v>
      </c>
      <c r="AZ432">
        <v>1</v>
      </c>
      <c r="BA432">
        <v>35.270000000000003</v>
      </c>
      <c r="BB432">
        <v>6.51</v>
      </c>
      <c r="BC432">
        <v>21.17</v>
      </c>
      <c r="BD432" t="s">
        <v>3</v>
      </c>
      <c r="BE432" t="s">
        <v>3</v>
      </c>
      <c r="BF432" t="s">
        <v>3</v>
      </c>
      <c r="BG432" t="s">
        <v>3</v>
      </c>
      <c r="BH432">
        <v>0</v>
      </c>
      <c r="BI432">
        <v>1</v>
      </c>
      <c r="BJ432" t="s">
        <v>533</v>
      </c>
      <c r="BM432">
        <v>27001</v>
      </c>
      <c r="BN432">
        <v>0</v>
      </c>
      <c r="BO432" t="s">
        <v>530</v>
      </c>
      <c r="BP432">
        <v>1</v>
      </c>
      <c r="BQ432">
        <v>2</v>
      </c>
      <c r="BR432">
        <v>0</v>
      </c>
      <c r="BS432">
        <v>35.270000000000003</v>
      </c>
      <c r="BT432">
        <v>1</v>
      </c>
      <c r="BU432">
        <v>1</v>
      </c>
      <c r="BV432">
        <v>1</v>
      </c>
      <c r="BW432">
        <v>1</v>
      </c>
      <c r="BX432">
        <v>1</v>
      </c>
      <c r="BY432" t="s">
        <v>3</v>
      </c>
      <c r="BZ432">
        <v>147</v>
      </c>
      <c r="CA432">
        <v>134</v>
      </c>
      <c r="CB432" t="s">
        <v>3</v>
      </c>
      <c r="CE432">
        <v>0</v>
      </c>
      <c r="CF432">
        <v>0</v>
      </c>
      <c r="CG432">
        <v>0</v>
      </c>
      <c r="CM432">
        <v>0</v>
      </c>
      <c r="CN432" t="s">
        <v>3</v>
      </c>
      <c r="CO432">
        <v>0</v>
      </c>
      <c r="CP432">
        <f t="shared" si="327"/>
        <v>3519.7099999999996</v>
      </c>
      <c r="CQ432">
        <f t="shared" si="328"/>
        <v>33409.223800000007</v>
      </c>
      <c r="CR432">
        <f t="shared" si="329"/>
        <v>71651.403600000005</v>
      </c>
      <c r="CS432">
        <f t="shared" si="330"/>
        <v>10607.099800000002</v>
      </c>
      <c r="CT432">
        <f t="shared" si="331"/>
        <v>12263.026300000001</v>
      </c>
      <c r="CU432">
        <f t="shared" si="332"/>
        <v>0</v>
      </c>
      <c r="CV432">
        <f t="shared" si="333"/>
        <v>41.49</v>
      </c>
      <c r="CW432">
        <f t="shared" si="334"/>
        <v>25.4</v>
      </c>
      <c r="CX432">
        <f t="shared" si="335"/>
        <v>0</v>
      </c>
      <c r="CY432">
        <f>(((S432+R432)*AT432)/100)</f>
        <v>1008.5669999999998</v>
      </c>
      <c r="CZ432">
        <f>(((S432+R432)*AU432)/100)</f>
        <v>919.37399999999991</v>
      </c>
      <c r="DC432" t="s">
        <v>3</v>
      </c>
      <c r="DD432" t="s">
        <v>3</v>
      </c>
      <c r="DE432" t="s">
        <v>3</v>
      </c>
      <c r="DF432" t="s">
        <v>3</v>
      </c>
      <c r="DG432" t="s">
        <v>3</v>
      </c>
      <c r="DH432" t="s">
        <v>3</v>
      </c>
      <c r="DI432" t="s">
        <v>3</v>
      </c>
      <c r="DJ432" t="s">
        <v>3</v>
      </c>
      <c r="DK432" t="s">
        <v>3</v>
      </c>
      <c r="DL432" t="s">
        <v>3</v>
      </c>
      <c r="DM432" t="s">
        <v>3</v>
      </c>
      <c r="DN432">
        <v>0</v>
      </c>
      <c r="DO432">
        <v>0</v>
      </c>
      <c r="DP432">
        <v>1</v>
      </c>
      <c r="DQ432">
        <v>1</v>
      </c>
      <c r="DU432">
        <v>1005</v>
      </c>
      <c r="DV432" t="s">
        <v>532</v>
      </c>
      <c r="DW432" t="s">
        <v>532</v>
      </c>
      <c r="DX432">
        <v>1000</v>
      </c>
      <c r="DZ432" t="s">
        <v>3</v>
      </c>
      <c r="EA432" t="s">
        <v>3</v>
      </c>
      <c r="EB432" t="s">
        <v>3</v>
      </c>
      <c r="EC432" t="s">
        <v>3</v>
      </c>
      <c r="EE432">
        <v>92109440</v>
      </c>
      <c r="EF432">
        <v>2</v>
      </c>
      <c r="EG432" t="s">
        <v>21</v>
      </c>
      <c r="EH432">
        <v>21</v>
      </c>
      <c r="EI432" t="s">
        <v>161</v>
      </c>
      <c r="EJ432">
        <v>1</v>
      </c>
      <c r="EK432">
        <v>27001</v>
      </c>
      <c r="EL432" t="s">
        <v>161</v>
      </c>
      <c r="EM432" t="s">
        <v>162</v>
      </c>
      <c r="EO432" t="s">
        <v>3</v>
      </c>
      <c r="EQ432">
        <v>0</v>
      </c>
      <c r="ER432">
        <v>12932.19</v>
      </c>
      <c r="ES432">
        <v>1578.14</v>
      </c>
      <c r="ET432">
        <v>11006.36</v>
      </c>
      <c r="EU432">
        <v>300.74</v>
      </c>
      <c r="EV432">
        <v>347.69</v>
      </c>
      <c r="EW432">
        <v>41.49</v>
      </c>
      <c r="EX432">
        <v>25.4</v>
      </c>
      <c r="EY432">
        <v>0</v>
      </c>
      <c r="FQ432">
        <v>0</v>
      </c>
      <c r="FR432">
        <f t="shared" si="336"/>
        <v>0</v>
      </c>
      <c r="FS432">
        <v>0</v>
      </c>
      <c r="FX432">
        <v>147</v>
      </c>
      <c r="FY432">
        <v>134</v>
      </c>
      <c r="GA432" t="s">
        <v>3</v>
      </c>
      <c r="GD432">
        <v>1</v>
      </c>
      <c r="GF432">
        <v>199553535</v>
      </c>
      <c r="GG432">
        <v>2</v>
      </c>
      <c r="GH432">
        <v>1</v>
      </c>
      <c r="GI432">
        <v>2</v>
      </c>
      <c r="GJ432">
        <v>0</v>
      </c>
      <c r="GK432">
        <v>0</v>
      </c>
      <c r="GL432">
        <f t="shared" si="337"/>
        <v>0</v>
      </c>
      <c r="GM432">
        <f t="shared" si="338"/>
        <v>5447.65</v>
      </c>
      <c r="GN432">
        <f t="shared" si="339"/>
        <v>5447.65</v>
      </c>
      <c r="GO432">
        <f t="shared" si="340"/>
        <v>0</v>
      </c>
      <c r="GP432">
        <f t="shared" si="341"/>
        <v>0</v>
      </c>
      <c r="GR432">
        <v>0</v>
      </c>
      <c r="GS432">
        <v>3</v>
      </c>
      <c r="GT432">
        <v>0</v>
      </c>
      <c r="GU432" t="s">
        <v>3</v>
      </c>
      <c r="GV432">
        <f t="shared" si="342"/>
        <v>0</v>
      </c>
      <c r="GW432">
        <v>1</v>
      </c>
      <c r="GX432">
        <f t="shared" si="343"/>
        <v>0</v>
      </c>
      <c r="HA432">
        <v>0</v>
      </c>
      <c r="HB432">
        <v>0</v>
      </c>
      <c r="HC432">
        <f t="shared" si="344"/>
        <v>0</v>
      </c>
      <c r="HE432" t="s">
        <v>3</v>
      </c>
      <c r="HF432" t="s">
        <v>3</v>
      </c>
      <c r="HM432" t="s">
        <v>3</v>
      </c>
      <c r="HN432" t="s">
        <v>163</v>
      </c>
      <c r="HO432" t="s">
        <v>164</v>
      </c>
      <c r="HP432" t="s">
        <v>161</v>
      </c>
      <c r="HQ432" t="s">
        <v>161</v>
      </c>
      <c r="IK432">
        <v>0</v>
      </c>
    </row>
    <row r="433" spans="1:245" x14ac:dyDescent="0.2">
      <c r="A433">
        <v>17</v>
      </c>
      <c r="B433">
        <v>1</v>
      </c>
      <c r="E433" t="s">
        <v>534</v>
      </c>
      <c r="F433" t="s">
        <v>535</v>
      </c>
      <c r="G433" t="s">
        <v>536</v>
      </c>
      <c r="H433" t="s">
        <v>170</v>
      </c>
      <c r="I433">
        <v>6.6</v>
      </c>
      <c r="J433">
        <v>0</v>
      </c>
      <c r="K433">
        <v>6.6</v>
      </c>
      <c r="O433">
        <f t="shared" si="307"/>
        <v>4101.75</v>
      </c>
      <c r="P433">
        <f t="shared" si="308"/>
        <v>4101.75</v>
      </c>
      <c r="Q433">
        <f t="shared" si="309"/>
        <v>0</v>
      </c>
      <c r="R433">
        <f t="shared" si="310"/>
        <v>0</v>
      </c>
      <c r="S433">
        <f t="shared" si="311"/>
        <v>0</v>
      </c>
      <c r="T433">
        <f t="shared" si="312"/>
        <v>0</v>
      </c>
      <c r="U433">
        <f t="shared" si="313"/>
        <v>0</v>
      </c>
      <c r="V433">
        <f t="shared" si="314"/>
        <v>0</v>
      </c>
      <c r="W433">
        <f t="shared" si="315"/>
        <v>0</v>
      </c>
      <c r="X433">
        <f t="shared" si="316"/>
        <v>0</v>
      </c>
      <c r="Y433">
        <f t="shared" si="317"/>
        <v>0</v>
      </c>
      <c r="AA433">
        <v>94798619</v>
      </c>
      <c r="AB433">
        <f t="shared" si="318"/>
        <v>52.05</v>
      </c>
      <c r="AC433">
        <f t="shared" si="319"/>
        <v>52.05</v>
      </c>
      <c r="AD433">
        <f t="shared" si="320"/>
        <v>0</v>
      </c>
      <c r="AE433">
        <f t="shared" si="321"/>
        <v>0</v>
      </c>
      <c r="AF433">
        <f t="shared" si="322"/>
        <v>0</v>
      </c>
      <c r="AG433">
        <f t="shared" si="323"/>
        <v>0</v>
      </c>
      <c r="AH433">
        <f t="shared" si="324"/>
        <v>0</v>
      </c>
      <c r="AI433">
        <f t="shared" si="325"/>
        <v>0</v>
      </c>
      <c r="AJ433">
        <f t="shared" si="326"/>
        <v>0</v>
      </c>
      <c r="AK433">
        <v>52.05</v>
      </c>
      <c r="AL433">
        <v>52.05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1</v>
      </c>
      <c r="AW433">
        <v>1</v>
      </c>
      <c r="AZ433">
        <v>1</v>
      </c>
      <c r="BA433">
        <v>1</v>
      </c>
      <c r="BB433">
        <v>1</v>
      </c>
      <c r="BC433">
        <v>11.94</v>
      </c>
      <c r="BD433" t="s">
        <v>3</v>
      </c>
      <c r="BE433" t="s">
        <v>3</v>
      </c>
      <c r="BF433" t="s">
        <v>3</v>
      </c>
      <c r="BG433" t="s">
        <v>3</v>
      </c>
      <c r="BH433">
        <v>3</v>
      </c>
      <c r="BI433">
        <v>1</v>
      </c>
      <c r="BJ433" t="s">
        <v>537</v>
      </c>
      <c r="BM433">
        <v>500001</v>
      </c>
      <c r="BN433">
        <v>0</v>
      </c>
      <c r="BO433" t="s">
        <v>535</v>
      </c>
      <c r="BP433">
        <v>1</v>
      </c>
      <c r="BQ433">
        <v>8</v>
      </c>
      <c r="BR433">
        <v>0</v>
      </c>
      <c r="BS433">
        <v>1</v>
      </c>
      <c r="BT433">
        <v>1</v>
      </c>
      <c r="BU433">
        <v>1</v>
      </c>
      <c r="BV433">
        <v>1</v>
      </c>
      <c r="BW433">
        <v>1</v>
      </c>
      <c r="BX433">
        <v>1</v>
      </c>
      <c r="BY433" t="s">
        <v>3</v>
      </c>
      <c r="BZ433">
        <v>0</v>
      </c>
      <c r="CA433">
        <v>0</v>
      </c>
      <c r="CB433" t="s">
        <v>3</v>
      </c>
      <c r="CE433">
        <v>0</v>
      </c>
      <c r="CF433">
        <v>0</v>
      </c>
      <c r="CG433">
        <v>0</v>
      </c>
      <c r="CM433">
        <v>0</v>
      </c>
      <c r="CN433" t="s">
        <v>3</v>
      </c>
      <c r="CO433">
        <v>0</v>
      </c>
      <c r="CP433">
        <f t="shared" si="327"/>
        <v>4101.75</v>
      </c>
      <c r="CQ433">
        <f t="shared" si="328"/>
        <v>621.47699999999998</v>
      </c>
      <c r="CR433">
        <f t="shared" si="329"/>
        <v>0</v>
      </c>
      <c r="CS433">
        <f t="shared" si="330"/>
        <v>0</v>
      </c>
      <c r="CT433">
        <f t="shared" si="331"/>
        <v>0</v>
      </c>
      <c r="CU433">
        <f t="shared" si="332"/>
        <v>0</v>
      </c>
      <c r="CV433">
        <f t="shared" si="333"/>
        <v>0</v>
      </c>
      <c r="CW433">
        <f t="shared" si="334"/>
        <v>0</v>
      </c>
      <c r="CX433">
        <f t="shared" si="335"/>
        <v>0</v>
      </c>
      <c r="CY433">
        <f>0</f>
        <v>0</v>
      </c>
      <c r="CZ433">
        <f>0</f>
        <v>0</v>
      </c>
      <c r="DC433" t="s">
        <v>3</v>
      </c>
      <c r="DD433" t="s">
        <v>3</v>
      </c>
      <c r="DE433" t="s">
        <v>3</v>
      </c>
      <c r="DF433" t="s">
        <v>3</v>
      </c>
      <c r="DG433" t="s">
        <v>3</v>
      </c>
      <c r="DH433" t="s">
        <v>3</v>
      </c>
      <c r="DI433" t="s">
        <v>3</v>
      </c>
      <c r="DJ433" t="s">
        <v>3</v>
      </c>
      <c r="DK433" t="s">
        <v>3</v>
      </c>
      <c r="DL433" t="s">
        <v>3</v>
      </c>
      <c r="DM433" t="s">
        <v>3</v>
      </c>
      <c r="DN433">
        <v>0</v>
      </c>
      <c r="DO433">
        <v>0</v>
      </c>
      <c r="DP433">
        <v>1</v>
      </c>
      <c r="DQ433">
        <v>1</v>
      </c>
      <c r="DU433">
        <v>1009</v>
      </c>
      <c r="DV433" t="s">
        <v>170</v>
      </c>
      <c r="DW433" t="s">
        <v>170</v>
      </c>
      <c r="DX433">
        <v>1000</v>
      </c>
      <c r="DZ433" t="s">
        <v>3</v>
      </c>
      <c r="EA433" t="s">
        <v>3</v>
      </c>
      <c r="EB433" t="s">
        <v>3</v>
      </c>
      <c r="EC433" t="s">
        <v>3</v>
      </c>
      <c r="EE433">
        <v>92109332</v>
      </c>
      <c r="EF433">
        <v>8</v>
      </c>
      <c r="EG433" t="s">
        <v>154</v>
      </c>
      <c r="EH433">
        <v>0</v>
      </c>
      <c r="EI433" t="s">
        <v>3</v>
      </c>
      <c r="EJ433">
        <v>1</v>
      </c>
      <c r="EK433">
        <v>500001</v>
      </c>
      <c r="EL433" t="s">
        <v>155</v>
      </c>
      <c r="EM433" t="s">
        <v>156</v>
      </c>
      <c r="EO433" t="s">
        <v>3</v>
      </c>
      <c r="EQ433">
        <v>0</v>
      </c>
      <c r="ER433">
        <v>52.05</v>
      </c>
      <c r="ES433">
        <v>52.05</v>
      </c>
      <c r="ET433">
        <v>0</v>
      </c>
      <c r="EU433">
        <v>0</v>
      </c>
      <c r="EV433">
        <v>0</v>
      </c>
      <c r="EW433">
        <v>0</v>
      </c>
      <c r="EX433">
        <v>0</v>
      </c>
      <c r="EY433">
        <v>0</v>
      </c>
      <c r="FQ433">
        <v>0</v>
      </c>
      <c r="FR433">
        <f t="shared" si="336"/>
        <v>0</v>
      </c>
      <c r="FS433">
        <v>0</v>
      </c>
      <c r="FX433">
        <v>0</v>
      </c>
      <c r="FY433">
        <v>0</v>
      </c>
      <c r="GA433" t="s">
        <v>3</v>
      </c>
      <c r="GD433">
        <v>1</v>
      </c>
      <c r="GF433">
        <v>-2047769425</v>
      </c>
      <c r="GG433">
        <v>2</v>
      </c>
      <c r="GH433">
        <v>1</v>
      </c>
      <c r="GI433">
        <v>2</v>
      </c>
      <c r="GJ433">
        <v>0</v>
      </c>
      <c r="GK433">
        <v>0</v>
      </c>
      <c r="GL433">
        <f t="shared" si="337"/>
        <v>0</v>
      </c>
      <c r="GM433">
        <f t="shared" si="338"/>
        <v>4101.75</v>
      </c>
      <c r="GN433">
        <f t="shared" si="339"/>
        <v>4101.75</v>
      </c>
      <c r="GO433">
        <f t="shared" si="340"/>
        <v>0</v>
      </c>
      <c r="GP433">
        <f t="shared" si="341"/>
        <v>0</v>
      </c>
      <c r="GR433">
        <v>0</v>
      </c>
      <c r="GS433">
        <v>3</v>
      </c>
      <c r="GT433">
        <v>0</v>
      </c>
      <c r="GU433" t="s">
        <v>3</v>
      </c>
      <c r="GV433">
        <f t="shared" si="342"/>
        <v>0</v>
      </c>
      <c r="GW433">
        <v>1</v>
      </c>
      <c r="GX433">
        <f t="shared" si="343"/>
        <v>0</v>
      </c>
      <c r="HA433">
        <v>0</v>
      </c>
      <c r="HB433">
        <v>0</v>
      </c>
      <c r="HC433">
        <f t="shared" si="344"/>
        <v>0</v>
      </c>
      <c r="HE433" t="s">
        <v>3</v>
      </c>
      <c r="HF433" t="s">
        <v>3</v>
      </c>
      <c r="HM433" t="s">
        <v>3</v>
      </c>
      <c r="HN433" t="s">
        <v>3</v>
      </c>
      <c r="HO433" t="s">
        <v>3</v>
      </c>
      <c r="HP433" t="s">
        <v>3</v>
      </c>
      <c r="HQ433" t="s">
        <v>3</v>
      </c>
      <c r="IK433">
        <v>0</v>
      </c>
    </row>
    <row r="434" spans="1:245" x14ac:dyDescent="0.2">
      <c r="A434">
        <v>17</v>
      </c>
      <c r="B434">
        <v>1</v>
      </c>
      <c r="C434">
        <f>ROW(SmtRes!A407)</f>
        <v>407</v>
      </c>
      <c r="D434">
        <f>ROW(EtalonRes!A407)</f>
        <v>407</v>
      </c>
      <c r="E434" t="s">
        <v>3</v>
      </c>
      <c r="F434" t="s">
        <v>538</v>
      </c>
      <c r="G434" t="s">
        <v>539</v>
      </c>
      <c r="H434" t="s">
        <v>532</v>
      </c>
      <c r="I434">
        <v>0</v>
      </c>
      <c r="J434">
        <v>0</v>
      </c>
      <c r="K434">
        <v>0</v>
      </c>
      <c r="O434">
        <f t="shared" si="307"/>
        <v>0</v>
      </c>
      <c r="P434">
        <f t="shared" si="308"/>
        <v>0</v>
      </c>
      <c r="Q434">
        <f t="shared" si="309"/>
        <v>0</v>
      </c>
      <c r="R434">
        <f t="shared" si="310"/>
        <v>0</v>
      </c>
      <c r="S434">
        <f t="shared" si="311"/>
        <v>0</v>
      </c>
      <c r="T434">
        <f t="shared" si="312"/>
        <v>0</v>
      </c>
      <c r="U434">
        <f t="shared" si="313"/>
        <v>0</v>
      </c>
      <c r="V434">
        <f t="shared" si="314"/>
        <v>0</v>
      </c>
      <c r="W434">
        <f t="shared" si="315"/>
        <v>0</v>
      </c>
      <c r="X434">
        <f t="shared" si="316"/>
        <v>0</v>
      </c>
      <c r="Y434">
        <f t="shared" si="317"/>
        <v>0</v>
      </c>
      <c r="AA434">
        <v>-1</v>
      </c>
      <c r="AB434">
        <f t="shared" si="318"/>
        <v>721.92</v>
      </c>
      <c r="AC434">
        <f t="shared" si="319"/>
        <v>0</v>
      </c>
      <c r="AD434">
        <f t="shared" si="320"/>
        <v>709.94</v>
      </c>
      <c r="AE434">
        <f t="shared" si="321"/>
        <v>18.27</v>
      </c>
      <c r="AF434">
        <f t="shared" si="322"/>
        <v>11.98</v>
      </c>
      <c r="AG434">
        <f t="shared" si="323"/>
        <v>0</v>
      </c>
      <c r="AH434">
        <f t="shared" si="324"/>
        <v>1.43</v>
      </c>
      <c r="AI434">
        <f t="shared" si="325"/>
        <v>1.53</v>
      </c>
      <c r="AJ434">
        <f t="shared" si="326"/>
        <v>0</v>
      </c>
      <c r="AK434">
        <v>721.92</v>
      </c>
      <c r="AL434">
        <v>0</v>
      </c>
      <c r="AM434">
        <v>709.94</v>
      </c>
      <c r="AN434">
        <v>18.27</v>
      </c>
      <c r="AO434">
        <v>11.98</v>
      </c>
      <c r="AP434">
        <v>0</v>
      </c>
      <c r="AQ434">
        <v>1.43</v>
      </c>
      <c r="AR434">
        <v>1.53</v>
      </c>
      <c r="AS434">
        <v>0</v>
      </c>
      <c r="AT434">
        <v>147</v>
      </c>
      <c r="AU434">
        <v>134</v>
      </c>
      <c r="AV434">
        <v>1</v>
      </c>
      <c r="AW434">
        <v>1</v>
      </c>
      <c r="AZ434">
        <v>1</v>
      </c>
      <c r="BA434">
        <v>35.270000000000003</v>
      </c>
      <c r="BB434">
        <v>6.5</v>
      </c>
      <c r="BC434">
        <v>1</v>
      </c>
      <c r="BD434" t="s">
        <v>3</v>
      </c>
      <c r="BE434" t="s">
        <v>3</v>
      </c>
      <c r="BF434" t="s">
        <v>3</v>
      </c>
      <c r="BG434" t="s">
        <v>3</v>
      </c>
      <c r="BH434">
        <v>0</v>
      </c>
      <c r="BI434">
        <v>1</v>
      </c>
      <c r="BJ434" t="s">
        <v>540</v>
      </c>
      <c r="BM434">
        <v>27001</v>
      </c>
      <c r="BN434">
        <v>0</v>
      </c>
      <c r="BO434" t="s">
        <v>538</v>
      </c>
      <c r="BP434">
        <v>1</v>
      </c>
      <c r="BQ434">
        <v>2</v>
      </c>
      <c r="BR434">
        <v>0</v>
      </c>
      <c r="BS434">
        <v>35.270000000000003</v>
      </c>
      <c r="BT434">
        <v>1</v>
      </c>
      <c r="BU434">
        <v>1</v>
      </c>
      <c r="BV434">
        <v>1</v>
      </c>
      <c r="BW434">
        <v>1</v>
      </c>
      <c r="BX434">
        <v>1</v>
      </c>
      <c r="BY434" t="s">
        <v>3</v>
      </c>
      <c r="BZ434">
        <v>147</v>
      </c>
      <c r="CA434">
        <v>134</v>
      </c>
      <c r="CB434" t="s">
        <v>3</v>
      </c>
      <c r="CE434">
        <v>0</v>
      </c>
      <c r="CF434">
        <v>0</v>
      </c>
      <c r="CG434">
        <v>0</v>
      </c>
      <c r="CM434">
        <v>0</v>
      </c>
      <c r="CN434" t="s">
        <v>3</v>
      </c>
      <c r="CO434">
        <v>0</v>
      </c>
      <c r="CP434">
        <f t="shared" si="327"/>
        <v>0</v>
      </c>
      <c r="CQ434">
        <f t="shared" si="328"/>
        <v>0</v>
      </c>
      <c r="CR434">
        <f t="shared" si="329"/>
        <v>4614.6100000000006</v>
      </c>
      <c r="CS434">
        <f t="shared" si="330"/>
        <v>644.38290000000006</v>
      </c>
      <c r="CT434">
        <f t="shared" si="331"/>
        <v>422.53460000000007</v>
      </c>
      <c r="CU434">
        <f t="shared" si="332"/>
        <v>0</v>
      </c>
      <c r="CV434">
        <f t="shared" si="333"/>
        <v>1.43</v>
      </c>
      <c r="CW434">
        <f t="shared" si="334"/>
        <v>1.53</v>
      </c>
      <c r="CX434">
        <f t="shared" si="335"/>
        <v>0</v>
      </c>
      <c r="CY434">
        <f>(((S434+R434)*AT434)/100)</f>
        <v>0</v>
      </c>
      <c r="CZ434">
        <f>(((S434+R434)*AU434)/100)</f>
        <v>0</v>
      </c>
      <c r="DC434" t="s">
        <v>3</v>
      </c>
      <c r="DD434" t="s">
        <v>3</v>
      </c>
      <c r="DE434" t="s">
        <v>3</v>
      </c>
      <c r="DF434" t="s">
        <v>3</v>
      </c>
      <c r="DG434" t="s">
        <v>3</v>
      </c>
      <c r="DH434" t="s">
        <v>3</v>
      </c>
      <c r="DI434" t="s">
        <v>3</v>
      </c>
      <c r="DJ434" t="s">
        <v>3</v>
      </c>
      <c r="DK434" t="s">
        <v>3</v>
      </c>
      <c r="DL434" t="s">
        <v>3</v>
      </c>
      <c r="DM434" t="s">
        <v>3</v>
      </c>
      <c r="DN434">
        <v>0</v>
      </c>
      <c r="DO434">
        <v>0</v>
      </c>
      <c r="DP434">
        <v>1</v>
      </c>
      <c r="DQ434">
        <v>1</v>
      </c>
      <c r="DU434">
        <v>1005</v>
      </c>
      <c r="DV434" t="s">
        <v>532</v>
      </c>
      <c r="DW434" t="s">
        <v>532</v>
      </c>
      <c r="DX434">
        <v>1000</v>
      </c>
      <c r="DZ434" t="s">
        <v>3</v>
      </c>
      <c r="EA434" t="s">
        <v>3</v>
      </c>
      <c r="EB434" t="s">
        <v>3</v>
      </c>
      <c r="EC434" t="s">
        <v>3</v>
      </c>
      <c r="EE434">
        <v>92109440</v>
      </c>
      <c r="EF434">
        <v>2</v>
      </c>
      <c r="EG434" t="s">
        <v>21</v>
      </c>
      <c r="EH434">
        <v>21</v>
      </c>
      <c r="EI434" t="s">
        <v>161</v>
      </c>
      <c r="EJ434">
        <v>1</v>
      </c>
      <c r="EK434">
        <v>27001</v>
      </c>
      <c r="EL434" t="s">
        <v>161</v>
      </c>
      <c r="EM434" t="s">
        <v>162</v>
      </c>
      <c r="EO434" t="s">
        <v>3</v>
      </c>
      <c r="EQ434">
        <v>1024</v>
      </c>
      <c r="ER434">
        <v>721.92</v>
      </c>
      <c r="ES434">
        <v>0</v>
      </c>
      <c r="ET434">
        <v>709.94</v>
      </c>
      <c r="EU434">
        <v>18.27</v>
      </c>
      <c r="EV434">
        <v>11.98</v>
      </c>
      <c r="EW434">
        <v>1.43</v>
      </c>
      <c r="EX434">
        <v>1.53</v>
      </c>
      <c r="EY434">
        <v>0</v>
      </c>
      <c r="FQ434">
        <v>0</v>
      </c>
      <c r="FR434">
        <f t="shared" si="336"/>
        <v>0</v>
      </c>
      <c r="FS434">
        <v>0</v>
      </c>
      <c r="FX434">
        <v>147</v>
      </c>
      <c r="FY434">
        <v>134</v>
      </c>
      <c r="GA434" t="s">
        <v>3</v>
      </c>
      <c r="GD434">
        <v>1</v>
      </c>
      <c r="GF434">
        <v>-791027272</v>
      </c>
      <c r="GG434">
        <v>2</v>
      </c>
      <c r="GH434">
        <v>1</v>
      </c>
      <c r="GI434">
        <v>2</v>
      </c>
      <c r="GJ434">
        <v>0</v>
      </c>
      <c r="GK434">
        <v>0</v>
      </c>
      <c r="GL434">
        <f t="shared" si="337"/>
        <v>0</v>
      </c>
      <c r="GM434">
        <f t="shared" si="338"/>
        <v>0</v>
      </c>
      <c r="GN434">
        <f t="shared" si="339"/>
        <v>0</v>
      </c>
      <c r="GO434">
        <f t="shared" si="340"/>
        <v>0</v>
      </c>
      <c r="GP434">
        <f t="shared" si="341"/>
        <v>0</v>
      </c>
      <c r="GR434">
        <v>0</v>
      </c>
      <c r="GS434">
        <v>3</v>
      </c>
      <c r="GT434">
        <v>0</v>
      </c>
      <c r="GU434" t="s">
        <v>3</v>
      </c>
      <c r="GV434">
        <f t="shared" si="342"/>
        <v>0</v>
      </c>
      <c r="GW434">
        <v>1</v>
      </c>
      <c r="GX434">
        <f t="shared" si="343"/>
        <v>0</v>
      </c>
      <c r="HA434">
        <v>0</v>
      </c>
      <c r="HB434">
        <v>0</v>
      </c>
      <c r="HC434">
        <f t="shared" si="344"/>
        <v>0</v>
      </c>
      <c r="HE434" t="s">
        <v>3</v>
      </c>
      <c r="HF434" t="s">
        <v>3</v>
      </c>
      <c r="HM434" t="s">
        <v>3</v>
      </c>
      <c r="HN434" t="s">
        <v>163</v>
      </c>
      <c r="HO434" t="s">
        <v>164</v>
      </c>
      <c r="HP434" t="s">
        <v>161</v>
      </c>
      <c r="HQ434" t="s">
        <v>161</v>
      </c>
      <c r="IK434">
        <v>0</v>
      </c>
    </row>
    <row r="435" spans="1:245" x14ac:dyDescent="0.2">
      <c r="A435">
        <v>17</v>
      </c>
      <c r="B435">
        <v>1</v>
      </c>
      <c r="C435">
        <f>ROW(SmtRes!A431)</f>
        <v>431</v>
      </c>
      <c r="D435">
        <f>ROW(EtalonRes!A431)</f>
        <v>431</v>
      </c>
      <c r="E435" t="s">
        <v>3</v>
      </c>
      <c r="F435" t="s">
        <v>541</v>
      </c>
      <c r="G435" t="s">
        <v>542</v>
      </c>
      <c r="H435" t="s">
        <v>543</v>
      </c>
      <c r="I435">
        <f>ROUND(30/1000,9)</f>
        <v>0.03</v>
      </c>
      <c r="J435">
        <v>0</v>
      </c>
      <c r="K435">
        <f>ROUND(30/1000,9)</f>
        <v>0.03</v>
      </c>
      <c r="O435">
        <f t="shared" si="307"/>
        <v>30793.919999999998</v>
      </c>
      <c r="P435">
        <f t="shared" si="308"/>
        <v>28957.43</v>
      </c>
      <c r="Q435">
        <f t="shared" si="309"/>
        <v>1656.16</v>
      </c>
      <c r="R435">
        <f t="shared" si="310"/>
        <v>226.54</v>
      </c>
      <c r="S435">
        <f t="shared" si="311"/>
        <v>180.33</v>
      </c>
      <c r="T435">
        <f t="shared" si="312"/>
        <v>0</v>
      </c>
      <c r="U435">
        <f t="shared" si="313"/>
        <v>0.62579999999999991</v>
      </c>
      <c r="V435">
        <f t="shared" si="314"/>
        <v>0.55949999999999989</v>
      </c>
      <c r="W435">
        <f t="shared" si="315"/>
        <v>0</v>
      </c>
      <c r="X435">
        <f t="shared" si="316"/>
        <v>598.1</v>
      </c>
      <c r="Y435">
        <f t="shared" si="317"/>
        <v>545.21</v>
      </c>
      <c r="AA435">
        <v>-1</v>
      </c>
      <c r="AB435">
        <f t="shared" si="318"/>
        <v>54108.31</v>
      </c>
      <c r="AC435">
        <f t="shared" si="319"/>
        <v>45105.03</v>
      </c>
      <c r="AD435">
        <f t="shared" si="320"/>
        <v>8832.85</v>
      </c>
      <c r="AE435">
        <f t="shared" si="321"/>
        <v>214.1</v>
      </c>
      <c r="AF435">
        <f t="shared" si="322"/>
        <v>170.43</v>
      </c>
      <c r="AG435">
        <f t="shared" si="323"/>
        <v>0</v>
      </c>
      <c r="AH435">
        <f t="shared" si="324"/>
        <v>20.86</v>
      </c>
      <c r="AI435">
        <f t="shared" si="325"/>
        <v>18.649999999999999</v>
      </c>
      <c r="AJ435">
        <f t="shared" si="326"/>
        <v>0</v>
      </c>
      <c r="AK435">
        <v>54108.31</v>
      </c>
      <c r="AL435">
        <v>45105.03</v>
      </c>
      <c r="AM435">
        <v>8832.85</v>
      </c>
      <c r="AN435">
        <v>214.1</v>
      </c>
      <c r="AO435">
        <v>170.43</v>
      </c>
      <c r="AP435">
        <v>0</v>
      </c>
      <c r="AQ435">
        <v>20.86</v>
      </c>
      <c r="AR435">
        <v>18.649999999999999</v>
      </c>
      <c r="AS435">
        <v>0</v>
      </c>
      <c r="AT435">
        <v>147</v>
      </c>
      <c r="AU435">
        <v>134</v>
      </c>
      <c r="AV435">
        <v>1</v>
      </c>
      <c r="AW435">
        <v>1</v>
      </c>
      <c r="AZ435">
        <v>1</v>
      </c>
      <c r="BA435">
        <v>35.270000000000003</v>
      </c>
      <c r="BB435">
        <v>6.25</v>
      </c>
      <c r="BC435">
        <v>21.4</v>
      </c>
      <c r="BD435" t="s">
        <v>3</v>
      </c>
      <c r="BE435" t="s">
        <v>3</v>
      </c>
      <c r="BF435" t="s">
        <v>3</v>
      </c>
      <c r="BG435" t="s">
        <v>3</v>
      </c>
      <c r="BH435">
        <v>0</v>
      </c>
      <c r="BI435">
        <v>1</v>
      </c>
      <c r="BJ435" t="s">
        <v>544</v>
      </c>
      <c r="BM435">
        <v>27001</v>
      </c>
      <c r="BN435">
        <v>0</v>
      </c>
      <c r="BO435" t="s">
        <v>541</v>
      </c>
      <c r="BP435">
        <v>1</v>
      </c>
      <c r="BQ435">
        <v>2</v>
      </c>
      <c r="BR435">
        <v>0</v>
      </c>
      <c r="BS435">
        <v>35.270000000000003</v>
      </c>
      <c r="BT435">
        <v>1</v>
      </c>
      <c r="BU435">
        <v>1</v>
      </c>
      <c r="BV435">
        <v>1</v>
      </c>
      <c r="BW435">
        <v>1</v>
      </c>
      <c r="BX435">
        <v>1</v>
      </c>
      <c r="BY435" t="s">
        <v>3</v>
      </c>
      <c r="BZ435">
        <v>147</v>
      </c>
      <c r="CA435">
        <v>134</v>
      </c>
      <c r="CB435" t="s">
        <v>3</v>
      </c>
      <c r="CE435">
        <v>0</v>
      </c>
      <c r="CF435">
        <v>0</v>
      </c>
      <c r="CG435">
        <v>0</v>
      </c>
      <c r="CM435">
        <v>0</v>
      </c>
      <c r="CN435" t="s">
        <v>3</v>
      </c>
      <c r="CO435">
        <v>0</v>
      </c>
      <c r="CP435">
        <f t="shared" si="327"/>
        <v>30793.920000000002</v>
      </c>
      <c r="CQ435">
        <f t="shared" si="328"/>
        <v>965247.64199999988</v>
      </c>
      <c r="CR435">
        <f t="shared" si="329"/>
        <v>55205.3125</v>
      </c>
      <c r="CS435">
        <f t="shared" si="330"/>
        <v>7551.3070000000007</v>
      </c>
      <c r="CT435">
        <f t="shared" si="331"/>
        <v>6011.0661000000009</v>
      </c>
      <c r="CU435">
        <f t="shared" si="332"/>
        <v>0</v>
      </c>
      <c r="CV435">
        <f t="shared" si="333"/>
        <v>20.86</v>
      </c>
      <c r="CW435">
        <f t="shared" si="334"/>
        <v>18.649999999999999</v>
      </c>
      <c r="CX435">
        <f t="shared" si="335"/>
        <v>0</v>
      </c>
      <c r="CY435">
        <f>(((S435+R435)*AT435)/100)</f>
        <v>598.09889999999996</v>
      </c>
      <c r="CZ435">
        <f>(((S435+R435)*AU435)/100)</f>
        <v>545.20580000000007</v>
      </c>
      <c r="DC435" t="s">
        <v>3</v>
      </c>
      <c r="DD435" t="s">
        <v>3</v>
      </c>
      <c r="DE435" t="s">
        <v>3</v>
      </c>
      <c r="DF435" t="s">
        <v>3</v>
      </c>
      <c r="DG435" t="s">
        <v>3</v>
      </c>
      <c r="DH435" t="s">
        <v>3</v>
      </c>
      <c r="DI435" t="s">
        <v>3</v>
      </c>
      <c r="DJ435" t="s">
        <v>3</v>
      </c>
      <c r="DK435" t="s">
        <v>3</v>
      </c>
      <c r="DL435" t="s">
        <v>3</v>
      </c>
      <c r="DM435" t="s">
        <v>3</v>
      </c>
      <c r="DN435">
        <v>0</v>
      </c>
      <c r="DO435">
        <v>0</v>
      </c>
      <c r="DP435">
        <v>1</v>
      </c>
      <c r="DQ435">
        <v>1</v>
      </c>
      <c r="DU435">
        <v>1013</v>
      </c>
      <c r="DV435" t="s">
        <v>543</v>
      </c>
      <c r="DW435" t="s">
        <v>543</v>
      </c>
      <c r="DX435">
        <v>1</v>
      </c>
      <c r="DZ435" t="s">
        <v>3</v>
      </c>
      <c r="EA435" t="s">
        <v>3</v>
      </c>
      <c r="EB435" t="s">
        <v>3</v>
      </c>
      <c r="EC435" t="s">
        <v>3</v>
      </c>
      <c r="EE435">
        <v>92109440</v>
      </c>
      <c r="EF435">
        <v>2</v>
      </c>
      <c r="EG435" t="s">
        <v>21</v>
      </c>
      <c r="EH435">
        <v>21</v>
      </c>
      <c r="EI435" t="s">
        <v>161</v>
      </c>
      <c r="EJ435">
        <v>1</v>
      </c>
      <c r="EK435">
        <v>27001</v>
      </c>
      <c r="EL435" t="s">
        <v>161</v>
      </c>
      <c r="EM435" t="s">
        <v>162</v>
      </c>
      <c r="EO435" t="s">
        <v>3</v>
      </c>
      <c r="EQ435">
        <v>1024</v>
      </c>
      <c r="ER435">
        <v>54108.31</v>
      </c>
      <c r="ES435">
        <v>45105.03</v>
      </c>
      <c r="ET435">
        <v>8832.85</v>
      </c>
      <c r="EU435">
        <v>214.1</v>
      </c>
      <c r="EV435">
        <v>170.43</v>
      </c>
      <c r="EW435">
        <v>20.86</v>
      </c>
      <c r="EX435">
        <v>18.649999999999999</v>
      </c>
      <c r="EY435">
        <v>0</v>
      </c>
      <c r="FQ435">
        <v>0</v>
      </c>
      <c r="FR435">
        <f t="shared" si="336"/>
        <v>0</v>
      </c>
      <c r="FS435">
        <v>0</v>
      </c>
      <c r="FX435">
        <v>147</v>
      </c>
      <c r="FY435">
        <v>134</v>
      </c>
      <c r="GA435" t="s">
        <v>3</v>
      </c>
      <c r="GD435">
        <v>1</v>
      </c>
      <c r="GF435">
        <v>-449014574</v>
      </c>
      <c r="GG435">
        <v>2</v>
      </c>
      <c r="GH435">
        <v>1</v>
      </c>
      <c r="GI435">
        <v>2</v>
      </c>
      <c r="GJ435">
        <v>0</v>
      </c>
      <c r="GK435">
        <v>0</v>
      </c>
      <c r="GL435">
        <f t="shared" si="337"/>
        <v>0</v>
      </c>
      <c r="GM435">
        <f t="shared" si="338"/>
        <v>31937.23</v>
      </c>
      <c r="GN435">
        <f t="shared" si="339"/>
        <v>31937.23</v>
      </c>
      <c r="GO435">
        <f t="shared" si="340"/>
        <v>0</v>
      </c>
      <c r="GP435">
        <f t="shared" si="341"/>
        <v>0</v>
      </c>
      <c r="GR435">
        <v>0</v>
      </c>
      <c r="GS435">
        <v>3</v>
      </c>
      <c r="GT435">
        <v>0</v>
      </c>
      <c r="GU435" t="s">
        <v>3</v>
      </c>
      <c r="GV435">
        <f t="shared" si="342"/>
        <v>0</v>
      </c>
      <c r="GW435">
        <v>1</v>
      </c>
      <c r="GX435">
        <f t="shared" si="343"/>
        <v>0</v>
      </c>
      <c r="HA435">
        <v>0</v>
      </c>
      <c r="HB435">
        <v>0</v>
      </c>
      <c r="HC435">
        <f t="shared" si="344"/>
        <v>0</v>
      </c>
      <c r="HE435" t="s">
        <v>3</v>
      </c>
      <c r="HF435" t="s">
        <v>3</v>
      </c>
      <c r="HM435" t="s">
        <v>3</v>
      </c>
      <c r="HN435" t="s">
        <v>163</v>
      </c>
      <c r="HO435" t="s">
        <v>164</v>
      </c>
      <c r="HP435" t="s">
        <v>161</v>
      </c>
      <c r="HQ435" t="s">
        <v>161</v>
      </c>
      <c r="IK435">
        <v>0</v>
      </c>
    </row>
    <row r="436" spans="1:245" x14ac:dyDescent="0.2">
      <c r="A436">
        <v>17</v>
      </c>
      <c r="B436">
        <v>1</v>
      </c>
      <c r="C436">
        <f>ROW(SmtRes!A437)</f>
        <v>437</v>
      </c>
      <c r="D436">
        <f>ROW(EtalonRes!A437)</f>
        <v>437</v>
      </c>
      <c r="E436" t="s">
        <v>545</v>
      </c>
      <c r="F436" t="s">
        <v>546</v>
      </c>
      <c r="G436" t="s">
        <v>547</v>
      </c>
      <c r="H436" t="s">
        <v>295</v>
      </c>
      <c r="I436">
        <f>ROUND(12.6/100,9)</f>
        <v>0.126</v>
      </c>
      <c r="J436">
        <v>0</v>
      </c>
      <c r="K436">
        <f>ROUND(12.6/100,9)</f>
        <v>0.126</v>
      </c>
      <c r="O436">
        <f t="shared" si="307"/>
        <v>3542.99</v>
      </c>
      <c r="P436">
        <f t="shared" si="308"/>
        <v>0</v>
      </c>
      <c r="Q436">
        <f t="shared" si="309"/>
        <v>1916.21</v>
      </c>
      <c r="R436">
        <f t="shared" si="310"/>
        <v>532.08000000000004</v>
      </c>
      <c r="S436">
        <f t="shared" si="311"/>
        <v>1626.78</v>
      </c>
      <c r="T436">
        <f t="shared" si="312"/>
        <v>0</v>
      </c>
      <c r="U436">
        <f t="shared" si="313"/>
        <v>5.7871800000000002</v>
      </c>
      <c r="V436">
        <f t="shared" si="314"/>
        <v>1.3267799999999998</v>
      </c>
      <c r="W436">
        <f t="shared" si="315"/>
        <v>0</v>
      </c>
      <c r="X436">
        <f t="shared" si="316"/>
        <v>1986.15</v>
      </c>
      <c r="Y436">
        <f t="shared" si="317"/>
        <v>993.08</v>
      </c>
      <c r="AA436">
        <v>94798619</v>
      </c>
      <c r="AB436">
        <f t="shared" si="318"/>
        <v>1716.68</v>
      </c>
      <c r="AC436">
        <f t="shared" si="319"/>
        <v>0</v>
      </c>
      <c r="AD436">
        <f t="shared" si="320"/>
        <v>1350.62</v>
      </c>
      <c r="AE436">
        <f t="shared" si="321"/>
        <v>119.73</v>
      </c>
      <c r="AF436">
        <f t="shared" si="322"/>
        <v>366.06</v>
      </c>
      <c r="AG436">
        <f t="shared" si="323"/>
        <v>0</v>
      </c>
      <c r="AH436">
        <f t="shared" si="324"/>
        <v>45.93</v>
      </c>
      <c r="AI436">
        <f t="shared" si="325"/>
        <v>10.53</v>
      </c>
      <c r="AJ436">
        <f t="shared" si="326"/>
        <v>0</v>
      </c>
      <c r="AK436">
        <v>1716.68</v>
      </c>
      <c r="AL436">
        <v>0</v>
      </c>
      <c r="AM436">
        <v>1350.62</v>
      </c>
      <c r="AN436">
        <v>119.73</v>
      </c>
      <c r="AO436">
        <v>366.06</v>
      </c>
      <c r="AP436">
        <v>0</v>
      </c>
      <c r="AQ436">
        <v>45.93</v>
      </c>
      <c r="AR436">
        <v>10.53</v>
      </c>
      <c r="AS436">
        <v>0</v>
      </c>
      <c r="AT436">
        <v>92</v>
      </c>
      <c r="AU436">
        <v>46</v>
      </c>
      <c r="AV436">
        <v>1</v>
      </c>
      <c r="AW436">
        <v>1</v>
      </c>
      <c r="AZ436">
        <v>1</v>
      </c>
      <c r="BA436">
        <v>35.270000000000003</v>
      </c>
      <c r="BB436">
        <v>11.26</v>
      </c>
      <c r="BC436">
        <v>1</v>
      </c>
      <c r="BD436" t="s">
        <v>3</v>
      </c>
      <c r="BE436" t="s">
        <v>3</v>
      </c>
      <c r="BF436" t="s">
        <v>3</v>
      </c>
      <c r="BG436" t="s">
        <v>3</v>
      </c>
      <c r="BH436">
        <v>0</v>
      </c>
      <c r="BI436">
        <v>1</v>
      </c>
      <c r="BJ436" t="s">
        <v>548</v>
      </c>
      <c r="BM436">
        <v>1001</v>
      </c>
      <c r="BN436">
        <v>0</v>
      </c>
      <c r="BO436" t="s">
        <v>546</v>
      </c>
      <c r="BP436">
        <v>1</v>
      </c>
      <c r="BQ436">
        <v>2</v>
      </c>
      <c r="BR436">
        <v>0</v>
      </c>
      <c r="BS436">
        <v>35.270000000000003</v>
      </c>
      <c r="BT436">
        <v>1</v>
      </c>
      <c r="BU436">
        <v>1</v>
      </c>
      <c r="BV436">
        <v>1</v>
      </c>
      <c r="BW436">
        <v>1</v>
      </c>
      <c r="BX436">
        <v>1</v>
      </c>
      <c r="BY436" t="s">
        <v>3</v>
      </c>
      <c r="BZ436">
        <v>92</v>
      </c>
      <c r="CA436">
        <v>46</v>
      </c>
      <c r="CB436" t="s">
        <v>3</v>
      </c>
      <c r="CE436">
        <v>0</v>
      </c>
      <c r="CF436">
        <v>0</v>
      </c>
      <c r="CG436">
        <v>0</v>
      </c>
      <c r="CM436">
        <v>0</v>
      </c>
      <c r="CN436" t="s">
        <v>3</v>
      </c>
      <c r="CO436">
        <v>0</v>
      </c>
      <c r="CP436">
        <f t="shared" si="327"/>
        <v>3542.99</v>
      </c>
      <c r="CQ436">
        <f t="shared" si="328"/>
        <v>0</v>
      </c>
      <c r="CR436">
        <f t="shared" si="329"/>
        <v>15207.981199999998</v>
      </c>
      <c r="CS436">
        <f t="shared" si="330"/>
        <v>4222.8771000000006</v>
      </c>
      <c r="CT436">
        <f t="shared" si="331"/>
        <v>12910.936200000002</v>
      </c>
      <c r="CU436">
        <f t="shared" si="332"/>
        <v>0</v>
      </c>
      <c r="CV436">
        <f t="shared" si="333"/>
        <v>45.93</v>
      </c>
      <c r="CW436">
        <f t="shared" si="334"/>
        <v>10.53</v>
      </c>
      <c r="CX436">
        <f t="shared" si="335"/>
        <v>0</v>
      </c>
      <c r="CY436">
        <f>(((S436+R436)*AT436)/100)</f>
        <v>1986.1512000000002</v>
      </c>
      <c r="CZ436">
        <f>(((S436+R436)*AU436)/100)</f>
        <v>993.07560000000012</v>
      </c>
      <c r="DC436" t="s">
        <v>3</v>
      </c>
      <c r="DD436" t="s">
        <v>3</v>
      </c>
      <c r="DE436" t="s">
        <v>3</v>
      </c>
      <c r="DF436" t="s">
        <v>3</v>
      </c>
      <c r="DG436" t="s">
        <v>3</v>
      </c>
      <c r="DH436" t="s">
        <v>3</v>
      </c>
      <c r="DI436" t="s">
        <v>3</v>
      </c>
      <c r="DJ436" t="s">
        <v>3</v>
      </c>
      <c r="DK436" t="s">
        <v>3</v>
      </c>
      <c r="DL436" t="s">
        <v>3</v>
      </c>
      <c r="DM436" t="s">
        <v>3</v>
      </c>
      <c r="DN436">
        <v>0</v>
      </c>
      <c r="DO436">
        <v>0</v>
      </c>
      <c r="DP436">
        <v>1</v>
      </c>
      <c r="DQ436">
        <v>1</v>
      </c>
      <c r="DU436">
        <v>1013</v>
      </c>
      <c r="DV436" t="s">
        <v>295</v>
      </c>
      <c r="DW436" t="s">
        <v>295</v>
      </c>
      <c r="DX436">
        <v>1</v>
      </c>
      <c r="DZ436" t="s">
        <v>3</v>
      </c>
      <c r="EA436" t="s">
        <v>3</v>
      </c>
      <c r="EB436" t="s">
        <v>3</v>
      </c>
      <c r="EC436" t="s">
        <v>3</v>
      </c>
      <c r="EE436">
        <v>92109373</v>
      </c>
      <c r="EF436">
        <v>2</v>
      </c>
      <c r="EG436" t="s">
        <v>21</v>
      </c>
      <c r="EH436">
        <v>1</v>
      </c>
      <c r="EI436" t="s">
        <v>22</v>
      </c>
      <c r="EJ436">
        <v>1</v>
      </c>
      <c r="EK436">
        <v>1001</v>
      </c>
      <c r="EL436" t="s">
        <v>505</v>
      </c>
      <c r="EM436" t="s">
        <v>24</v>
      </c>
      <c r="EO436" t="s">
        <v>3</v>
      </c>
      <c r="EQ436">
        <v>0</v>
      </c>
      <c r="ER436">
        <v>1716.68</v>
      </c>
      <c r="ES436">
        <v>0</v>
      </c>
      <c r="ET436">
        <v>1350.62</v>
      </c>
      <c r="EU436">
        <v>119.73</v>
      </c>
      <c r="EV436">
        <v>366.06</v>
      </c>
      <c r="EW436">
        <v>45.93</v>
      </c>
      <c r="EX436">
        <v>10.53</v>
      </c>
      <c r="EY436">
        <v>0</v>
      </c>
      <c r="FQ436">
        <v>0</v>
      </c>
      <c r="FR436">
        <f t="shared" si="336"/>
        <v>0</v>
      </c>
      <c r="FS436">
        <v>0</v>
      </c>
      <c r="FX436">
        <v>92</v>
      </c>
      <c r="FY436">
        <v>46</v>
      </c>
      <c r="GA436" t="s">
        <v>3</v>
      </c>
      <c r="GD436">
        <v>1</v>
      </c>
      <c r="GF436">
        <v>980701784</v>
      </c>
      <c r="GG436">
        <v>2</v>
      </c>
      <c r="GH436">
        <v>1</v>
      </c>
      <c r="GI436">
        <v>2</v>
      </c>
      <c r="GJ436">
        <v>0</v>
      </c>
      <c r="GK436">
        <v>0</v>
      </c>
      <c r="GL436">
        <f t="shared" si="337"/>
        <v>0</v>
      </c>
      <c r="GM436">
        <f t="shared" si="338"/>
        <v>6522.22</v>
      </c>
      <c r="GN436">
        <f t="shared" si="339"/>
        <v>6522.22</v>
      </c>
      <c r="GO436">
        <f t="shared" si="340"/>
        <v>0</v>
      </c>
      <c r="GP436">
        <f t="shared" si="341"/>
        <v>0</v>
      </c>
      <c r="GR436">
        <v>0</v>
      </c>
      <c r="GS436">
        <v>3</v>
      </c>
      <c r="GT436">
        <v>0</v>
      </c>
      <c r="GU436" t="s">
        <v>3</v>
      </c>
      <c r="GV436">
        <f t="shared" si="342"/>
        <v>0</v>
      </c>
      <c r="GW436">
        <v>1</v>
      </c>
      <c r="GX436">
        <f t="shared" si="343"/>
        <v>0</v>
      </c>
      <c r="HA436">
        <v>0</v>
      </c>
      <c r="HB436">
        <v>0</v>
      </c>
      <c r="HC436">
        <f t="shared" si="344"/>
        <v>0</v>
      </c>
      <c r="HE436" t="s">
        <v>3</v>
      </c>
      <c r="HF436" t="s">
        <v>3</v>
      </c>
      <c r="HM436" t="s">
        <v>3</v>
      </c>
      <c r="HN436" t="s">
        <v>506</v>
      </c>
      <c r="HO436" t="s">
        <v>507</v>
      </c>
      <c r="HP436" t="s">
        <v>505</v>
      </c>
      <c r="HQ436" t="s">
        <v>505</v>
      </c>
      <c r="IK436">
        <v>0</v>
      </c>
    </row>
    <row r="438" spans="1:245" x14ac:dyDescent="0.2">
      <c r="A438" s="2">
        <v>51</v>
      </c>
      <c r="B438" s="2">
        <f>B422</f>
        <v>1</v>
      </c>
      <c r="C438" s="2">
        <f>A422</f>
        <v>4</v>
      </c>
      <c r="D438" s="2">
        <f>ROW(A422)</f>
        <v>422</v>
      </c>
      <c r="E438" s="2"/>
      <c r="F438" s="2" t="str">
        <f>IF(F422&lt;&gt;"",F422,"")</f>
        <v>Новый раздел</v>
      </c>
      <c r="G438" s="2" t="str">
        <f>IF(G422&lt;&gt;"",G422,"")</f>
        <v>Заезд</v>
      </c>
      <c r="H438" s="2">
        <v>0</v>
      </c>
      <c r="I438" s="2"/>
      <c r="J438" s="2"/>
      <c r="K438" s="2"/>
      <c r="L438" s="2"/>
      <c r="M438" s="2"/>
      <c r="N438" s="2"/>
      <c r="O438" s="2">
        <f t="shared" ref="O438:T438" si="345">ROUND(AB438,2)</f>
        <v>44884.81</v>
      </c>
      <c r="P438" s="2">
        <f t="shared" si="345"/>
        <v>32358.49</v>
      </c>
      <c r="Q438" s="2">
        <f t="shared" si="345"/>
        <v>9954.6</v>
      </c>
      <c r="R438" s="2">
        <f t="shared" si="345"/>
        <v>2001.27</v>
      </c>
      <c r="S438" s="2">
        <f t="shared" si="345"/>
        <v>2571.7199999999998</v>
      </c>
      <c r="T438" s="2">
        <f t="shared" si="345"/>
        <v>0</v>
      </c>
      <c r="U438" s="2">
        <f>AH438</f>
        <v>9.2051280000000002</v>
      </c>
      <c r="V438" s="2">
        <f>AI438</f>
        <v>5.0127660000000001</v>
      </c>
      <c r="W438" s="2">
        <f>ROUND(AJ438,2)</f>
        <v>0</v>
      </c>
      <c r="X438" s="2">
        <f>ROUND(AK438,2)</f>
        <v>5278.23</v>
      </c>
      <c r="Y438" s="2">
        <f>ROUND(AL438,2)</f>
        <v>3817.31</v>
      </c>
      <c r="Z438" s="2"/>
      <c r="AA438" s="2"/>
      <c r="AB438" s="2">
        <f>ROUND(SUMIF(AA426:AA436,"=94798619",O426:O436),2)</f>
        <v>44884.81</v>
      </c>
      <c r="AC438" s="2">
        <f>ROUND(SUMIF(AA426:AA436,"=94798619",P426:P436),2)</f>
        <v>32358.49</v>
      </c>
      <c r="AD438" s="2">
        <f>ROUND(SUMIF(AA426:AA436,"=94798619",Q426:Q436),2)</f>
        <v>9954.6</v>
      </c>
      <c r="AE438" s="2">
        <f>ROUND(SUMIF(AA426:AA436,"=94798619",R426:R436),2)</f>
        <v>2001.27</v>
      </c>
      <c r="AF438" s="2">
        <f>ROUND(SUMIF(AA426:AA436,"=94798619",S426:S436),2)</f>
        <v>2571.7199999999998</v>
      </c>
      <c r="AG438" s="2">
        <f>ROUND(SUMIF(AA426:AA436,"=94798619",T426:T436),2)</f>
        <v>0</v>
      </c>
      <c r="AH438" s="2">
        <f>SUMIF(AA426:AA436,"=94798619",U426:U436)</f>
        <v>9.2051280000000002</v>
      </c>
      <c r="AI438" s="2">
        <f>SUMIF(AA426:AA436,"=94798619",V426:V436)</f>
        <v>5.0127660000000001</v>
      </c>
      <c r="AJ438" s="2">
        <f>ROUND(SUMIF(AA426:AA436,"=94798619",W426:W436),2)</f>
        <v>0</v>
      </c>
      <c r="AK438" s="2">
        <f>ROUND(SUMIF(AA426:AA436,"=94798619",X426:X436),2)</f>
        <v>5278.23</v>
      </c>
      <c r="AL438" s="2">
        <f>ROUND(SUMIF(AA426:AA436,"=94798619",Y426:Y436),2)</f>
        <v>3817.31</v>
      </c>
      <c r="AM438" s="2"/>
      <c r="AN438" s="2"/>
      <c r="AO438" s="2">
        <f t="shared" ref="AO438:BD438" si="346">ROUND(BX438,2)</f>
        <v>0</v>
      </c>
      <c r="AP438" s="2">
        <f t="shared" si="346"/>
        <v>0</v>
      </c>
      <c r="AQ438" s="2">
        <f t="shared" si="346"/>
        <v>0</v>
      </c>
      <c r="AR438" s="2">
        <f t="shared" si="346"/>
        <v>53980.35</v>
      </c>
      <c r="AS438" s="2">
        <f t="shared" si="346"/>
        <v>53980.35</v>
      </c>
      <c r="AT438" s="2">
        <f t="shared" si="346"/>
        <v>0</v>
      </c>
      <c r="AU438" s="2">
        <f t="shared" si="346"/>
        <v>0</v>
      </c>
      <c r="AV438" s="2">
        <f t="shared" si="346"/>
        <v>32358.49</v>
      </c>
      <c r="AW438" s="2">
        <f t="shared" si="346"/>
        <v>32358.49</v>
      </c>
      <c r="AX438" s="2">
        <f t="shared" si="346"/>
        <v>0</v>
      </c>
      <c r="AY438" s="2">
        <f t="shared" si="346"/>
        <v>32358.49</v>
      </c>
      <c r="AZ438" s="2">
        <f t="shared" si="346"/>
        <v>0</v>
      </c>
      <c r="BA438" s="2">
        <f t="shared" si="346"/>
        <v>0</v>
      </c>
      <c r="BB438" s="2">
        <f t="shared" si="346"/>
        <v>0</v>
      </c>
      <c r="BC438" s="2">
        <f t="shared" si="346"/>
        <v>0</v>
      </c>
      <c r="BD438" s="2">
        <f t="shared" si="346"/>
        <v>0</v>
      </c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>
        <f>ROUND(SUMIF(AA426:AA436,"=94798619",FQ426:FQ436),2)</f>
        <v>0</v>
      </c>
      <c r="BY438" s="2">
        <f>ROUND(SUMIF(AA426:AA436,"=94798619",FR426:FR436),2)</f>
        <v>0</v>
      </c>
      <c r="BZ438" s="2">
        <f>ROUND(SUMIF(AA426:AA436,"=94798619",GL426:GL436),2)</f>
        <v>0</v>
      </c>
      <c r="CA438" s="2">
        <f>ROUND(SUMIF(AA426:AA436,"=94798619",GM426:GM436),2)</f>
        <v>53980.35</v>
      </c>
      <c r="CB438" s="2">
        <f>ROUND(SUMIF(AA426:AA436,"=94798619",GN426:GN436),2)</f>
        <v>53980.35</v>
      </c>
      <c r="CC438" s="2">
        <f>ROUND(SUMIF(AA426:AA436,"=94798619",GO426:GO436),2)</f>
        <v>0</v>
      </c>
      <c r="CD438" s="2">
        <f>ROUND(SUMIF(AA426:AA436,"=94798619",GP426:GP436),2)</f>
        <v>0</v>
      </c>
      <c r="CE438" s="2">
        <f>AC438-BX438</f>
        <v>32358.49</v>
      </c>
      <c r="CF438" s="2">
        <f>AC438-BY438</f>
        <v>32358.49</v>
      </c>
      <c r="CG438" s="2">
        <f>BX438-BZ438</f>
        <v>0</v>
      </c>
      <c r="CH438" s="2">
        <f>AC438-BX438-BY438+BZ438</f>
        <v>32358.49</v>
      </c>
      <c r="CI438" s="2">
        <f>BY438-BZ438</f>
        <v>0</v>
      </c>
      <c r="CJ438" s="2">
        <f>ROUND(SUMIF(AA426:AA436,"=94798619",GX426:GX436),2)</f>
        <v>0</v>
      </c>
      <c r="CK438" s="2">
        <f>ROUND(SUMIF(AA426:AA436,"=94798619",GY426:GY436),2)</f>
        <v>0</v>
      </c>
      <c r="CL438" s="2">
        <f>ROUND(SUMIF(AA426:AA436,"=94798619",GZ426:GZ436),2)</f>
        <v>0</v>
      </c>
      <c r="CM438" s="2">
        <f>ROUND(SUMIF(AA426:AA436,"=94798619",HD426:HD436),2)</f>
        <v>0</v>
      </c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>
        <v>0</v>
      </c>
    </row>
    <row r="440" spans="1:245" x14ac:dyDescent="0.2">
      <c r="A440" s="4">
        <v>50</v>
      </c>
      <c r="B440" s="4">
        <v>0</v>
      </c>
      <c r="C440" s="4">
        <v>0</v>
      </c>
      <c r="D440" s="4">
        <v>1</v>
      </c>
      <c r="E440" s="4">
        <v>201</v>
      </c>
      <c r="F440" s="4">
        <f>ROUND(Source!O438,O440)</f>
        <v>44884.81</v>
      </c>
      <c r="G440" s="4" t="s">
        <v>82</v>
      </c>
      <c r="H440" s="4" t="s">
        <v>83</v>
      </c>
      <c r="I440" s="4"/>
      <c r="J440" s="4"/>
      <c r="K440" s="4">
        <v>201</v>
      </c>
      <c r="L440" s="4">
        <v>1</v>
      </c>
      <c r="M440" s="4">
        <v>3</v>
      </c>
      <c r="N440" s="4" t="s">
        <v>3</v>
      </c>
      <c r="O440" s="4">
        <v>2</v>
      </c>
      <c r="P440" s="4"/>
      <c r="Q440" s="4"/>
      <c r="R440" s="4"/>
      <c r="S440" s="4"/>
      <c r="T440" s="4"/>
      <c r="U440" s="4"/>
      <c r="V440" s="4"/>
      <c r="W440" s="4">
        <v>44884.81</v>
      </c>
      <c r="X440" s="4">
        <v>1</v>
      </c>
      <c r="Y440" s="4">
        <v>44884.81</v>
      </c>
      <c r="Z440" s="4"/>
      <c r="AA440" s="4"/>
      <c r="AB440" s="4"/>
    </row>
    <row r="441" spans="1:245" x14ac:dyDescent="0.2">
      <c r="A441" s="4">
        <v>50</v>
      </c>
      <c r="B441" s="4">
        <v>0</v>
      </c>
      <c r="C441" s="4">
        <v>0</v>
      </c>
      <c r="D441" s="4">
        <v>1</v>
      </c>
      <c r="E441" s="4">
        <v>202</v>
      </c>
      <c r="F441" s="4">
        <f>ROUND(Source!P438,O441)</f>
        <v>32358.49</v>
      </c>
      <c r="G441" s="4" t="s">
        <v>84</v>
      </c>
      <c r="H441" s="4" t="s">
        <v>85</v>
      </c>
      <c r="I441" s="4"/>
      <c r="J441" s="4"/>
      <c r="K441" s="4">
        <v>202</v>
      </c>
      <c r="L441" s="4">
        <v>2</v>
      </c>
      <c r="M441" s="4">
        <v>3</v>
      </c>
      <c r="N441" s="4" t="s">
        <v>3</v>
      </c>
      <c r="O441" s="4">
        <v>2</v>
      </c>
      <c r="P441" s="4"/>
      <c r="Q441" s="4"/>
      <c r="R441" s="4"/>
      <c r="S441" s="4"/>
      <c r="T441" s="4"/>
      <c r="U441" s="4"/>
      <c r="V441" s="4"/>
      <c r="W441" s="4">
        <v>32358.49</v>
      </c>
      <c r="X441" s="4">
        <v>1</v>
      </c>
      <c r="Y441" s="4">
        <v>32358.49</v>
      </c>
      <c r="Z441" s="4"/>
      <c r="AA441" s="4"/>
      <c r="AB441" s="4"/>
    </row>
    <row r="442" spans="1:245" x14ac:dyDescent="0.2">
      <c r="A442" s="4">
        <v>50</v>
      </c>
      <c r="B442" s="4">
        <v>0</v>
      </c>
      <c r="C442" s="4">
        <v>0</v>
      </c>
      <c r="D442" s="4">
        <v>1</v>
      </c>
      <c r="E442" s="4">
        <v>222</v>
      </c>
      <c r="F442" s="4">
        <f>ROUND(Source!AO438,O442)</f>
        <v>0</v>
      </c>
      <c r="G442" s="4" t="s">
        <v>86</v>
      </c>
      <c r="H442" s="4" t="s">
        <v>87</v>
      </c>
      <c r="I442" s="4"/>
      <c r="J442" s="4"/>
      <c r="K442" s="4">
        <v>222</v>
      </c>
      <c r="L442" s="4">
        <v>3</v>
      </c>
      <c r="M442" s="4">
        <v>3</v>
      </c>
      <c r="N442" s="4" t="s">
        <v>3</v>
      </c>
      <c r="O442" s="4">
        <v>2</v>
      </c>
      <c r="P442" s="4"/>
      <c r="Q442" s="4"/>
      <c r="R442" s="4"/>
      <c r="S442" s="4"/>
      <c r="T442" s="4"/>
      <c r="U442" s="4"/>
      <c r="V442" s="4"/>
      <c r="W442" s="4">
        <v>0</v>
      </c>
      <c r="X442" s="4">
        <v>1</v>
      </c>
      <c r="Y442" s="4">
        <v>0</v>
      </c>
      <c r="Z442" s="4"/>
      <c r="AA442" s="4"/>
      <c r="AB442" s="4"/>
    </row>
    <row r="443" spans="1:245" x14ac:dyDescent="0.2">
      <c r="A443" s="4">
        <v>50</v>
      </c>
      <c r="B443" s="4">
        <v>0</v>
      </c>
      <c r="C443" s="4">
        <v>0</v>
      </c>
      <c r="D443" s="4">
        <v>1</v>
      </c>
      <c r="E443" s="4">
        <v>225</v>
      </c>
      <c r="F443" s="4">
        <f>ROUND(Source!AV438,O443)</f>
        <v>32358.49</v>
      </c>
      <c r="G443" s="4" t="s">
        <v>88</v>
      </c>
      <c r="H443" s="4" t="s">
        <v>89</v>
      </c>
      <c r="I443" s="4"/>
      <c r="J443" s="4"/>
      <c r="K443" s="4">
        <v>225</v>
      </c>
      <c r="L443" s="4">
        <v>4</v>
      </c>
      <c r="M443" s="4">
        <v>3</v>
      </c>
      <c r="N443" s="4" t="s">
        <v>3</v>
      </c>
      <c r="O443" s="4">
        <v>2</v>
      </c>
      <c r="P443" s="4"/>
      <c r="Q443" s="4"/>
      <c r="R443" s="4"/>
      <c r="S443" s="4"/>
      <c r="T443" s="4"/>
      <c r="U443" s="4"/>
      <c r="V443" s="4"/>
      <c r="W443" s="4">
        <v>32358.49</v>
      </c>
      <c r="X443" s="4">
        <v>1</v>
      </c>
      <c r="Y443" s="4">
        <v>32358.49</v>
      </c>
      <c r="Z443" s="4"/>
      <c r="AA443" s="4"/>
      <c r="AB443" s="4"/>
    </row>
    <row r="444" spans="1:245" x14ac:dyDescent="0.2">
      <c r="A444" s="4">
        <v>50</v>
      </c>
      <c r="B444" s="4">
        <v>0</v>
      </c>
      <c r="C444" s="4">
        <v>0</v>
      </c>
      <c r="D444" s="4">
        <v>1</v>
      </c>
      <c r="E444" s="4">
        <v>226</v>
      </c>
      <c r="F444" s="4">
        <f>ROUND(Source!AW438,O444)</f>
        <v>32358.49</v>
      </c>
      <c r="G444" s="4" t="s">
        <v>90</v>
      </c>
      <c r="H444" s="4" t="s">
        <v>91</v>
      </c>
      <c r="I444" s="4"/>
      <c r="J444" s="4"/>
      <c r="K444" s="4">
        <v>226</v>
      </c>
      <c r="L444" s="4">
        <v>5</v>
      </c>
      <c r="M444" s="4">
        <v>3</v>
      </c>
      <c r="N444" s="4" t="s">
        <v>3</v>
      </c>
      <c r="O444" s="4">
        <v>2</v>
      </c>
      <c r="P444" s="4"/>
      <c r="Q444" s="4"/>
      <c r="R444" s="4"/>
      <c r="S444" s="4"/>
      <c r="T444" s="4"/>
      <c r="U444" s="4"/>
      <c r="V444" s="4"/>
      <c r="W444" s="4">
        <v>32358.49</v>
      </c>
      <c r="X444" s="4">
        <v>1</v>
      </c>
      <c r="Y444" s="4">
        <v>32358.49</v>
      </c>
      <c r="Z444" s="4"/>
      <c r="AA444" s="4"/>
      <c r="AB444" s="4"/>
    </row>
    <row r="445" spans="1:245" x14ac:dyDescent="0.2">
      <c r="A445" s="4">
        <v>50</v>
      </c>
      <c r="B445" s="4">
        <v>0</v>
      </c>
      <c r="C445" s="4">
        <v>0</v>
      </c>
      <c r="D445" s="4">
        <v>1</v>
      </c>
      <c r="E445" s="4">
        <v>227</v>
      </c>
      <c r="F445" s="4">
        <f>ROUND(Source!AX438,O445)</f>
        <v>0</v>
      </c>
      <c r="G445" s="4" t="s">
        <v>92</v>
      </c>
      <c r="H445" s="4" t="s">
        <v>93</v>
      </c>
      <c r="I445" s="4"/>
      <c r="J445" s="4"/>
      <c r="K445" s="4">
        <v>227</v>
      </c>
      <c r="L445" s="4">
        <v>6</v>
      </c>
      <c r="M445" s="4">
        <v>3</v>
      </c>
      <c r="N445" s="4" t="s">
        <v>3</v>
      </c>
      <c r="O445" s="4">
        <v>2</v>
      </c>
      <c r="P445" s="4"/>
      <c r="Q445" s="4"/>
      <c r="R445" s="4"/>
      <c r="S445" s="4"/>
      <c r="T445" s="4"/>
      <c r="U445" s="4"/>
      <c r="V445" s="4"/>
      <c r="W445" s="4">
        <v>0</v>
      </c>
      <c r="X445" s="4">
        <v>1</v>
      </c>
      <c r="Y445" s="4">
        <v>0</v>
      </c>
      <c r="Z445" s="4"/>
      <c r="AA445" s="4"/>
      <c r="AB445" s="4"/>
    </row>
    <row r="446" spans="1:245" x14ac:dyDescent="0.2">
      <c r="A446" s="4">
        <v>50</v>
      </c>
      <c r="B446" s="4">
        <v>0</v>
      </c>
      <c r="C446" s="4">
        <v>0</v>
      </c>
      <c r="D446" s="4">
        <v>1</v>
      </c>
      <c r="E446" s="4">
        <v>228</v>
      </c>
      <c r="F446" s="4">
        <f>ROUND(Source!AY438,O446)</f>
        <v>32358.49</v>
      </c>
      <c r="G446" s="4" t="s">
        <v>94</v>
      </c>
      <c r="H446" s="4" t="s">
        <v>95</v>
      </c>
      <c r="I446" s="4"/>
      <c r="J446" s="4"/>
      <c r="K446" s="4">
        <v>228</v>
      </c>
      <c r="L446" s="4">
        <v>7</v>
      </c>
      <c r="M446" s="4">
        <v>3</v>
      </c>
      <c r="N446" s="4" t="s">
        <v>3</v>
      </c>
      <c r="O446" s="4">
        <v>2</v>
      </c>
      <c r="P446" s="4"/>
      <c r="Q446" s="4"/>
      <c r="R446" s="4"/>
      <c r="S446" s="4"/>
      <c r="T446" s="4"/>
      <c r="U446" s="4"/>
      <c r="V446" s="4"/>
      <c r="W446" s="4">
        <v>32358.49</v>
      </c>
      <c r="X446" s="4">
        <v>1</v>
      </c>
      <c r="Y446" s="4">
        <v>32358.49</v>
      </c>
      <c r="Z446" s="4"/>
      <c r="AA446" s="4"/>
      <c r="AB446" s="4"/>
    </row>
    <row r="447" spans="1:245" x14ac:dyDescent="0.2">
      <c r="A447" s="4">
        <v>50</v>
      </c>
      <c r="B447" s="4">
        <v>0</v>
      </c>
      <c r="C447" s="4">
        <v>0</v>
      </c>
      <c r="D447" s="4">
        <v>1</v>
      </c>
      <c r="E447" s="4">
        <v>216</v>
      </c>
      <c r="F447" s="4">
        <f>ROUND(Source!AP438,O447)</f>
        <v>0</v>
      </c>
      <c r="G447" s="4" t="s">
        <v>96</v>
      </c>
      <c r="H447" s="4" t="s">
        <v>97</v>
      </c>
      <c r="I447" s="4"/>
      <c r="J447" s="4"/>
      <c r="K447" s="4">
        <v>216</v>
      </c>
      <c r="L447" s="4">
        <v>8</v>
      </c>
      <c r="M447" s="4">
        <v>3</v>
      </c>
      <c r="N447" s="4" t="s">
        <v>3</v>
      </c>
      <c r="O447" s="4">
        <v>2</v>
      </c>
      <c r="P447" s="4"/>
      <c r="Q447" s="4"/>
      <c r="R447" s="4"/>
      <c r="S447" s="4"/>
      <c r="T447" s="4"/>
      <c r="U447" s="4"/>
      <c r="V447" s="4"/>
      <c r="W447" s="4">
        <v>0</v>
      </c>
      <c r="X447" s="4">
        <v>1</v>
      </c>
      <c r="Y447" s="4">
        <v>0</v>
      </c>
      <c r="Z447" s="4"/>
      <c r="AA447" s="4"/>
      <c r="AB447" s="4"/>
    </row>
    <row r="448" spans="1:245" x14ac:dyDescent="0.2">
      <c r="A448" s="4">
        <v>50</v>
      </c>
      <c r="B448" s="4">
        <v>0</v>
      </c>
      <c r="C448" s="4">
        <v>0</v>
      </c>
      <c r="D448" s="4">
        <v>1</v>
      </c>
      <c r="E448" s="4">
        <v>223</v>
      </c>
      <c r="F448" s="4">
        <f>ROUND(Source!AQ438,O448)</f>
        <v>0</v>
      </c>
      <c r="G448" s="4" t="s">
        <v>98</v>
      </c>
      <c r="H448" s="4" t="s">
        <v>99</v>
      </c>
      <c r="I448" s="4"/>
      <c r="J448" s="4"/>
      <c r="K448" s="4">
        <v>223</v>
      </c>
      <c r="L448" s="4">
        <v>9</v>
      </c>
      <c r="M448" s="4">
        <v>3</v>
      </c>
      <c r="N448" s="4" t="s">
        <v>3</v>
      </c>
      <c r="O448" s="4">
        <v>2</v>
      </c>
      <c r="P448" s="4"/>
      <c r="Q448" s="4"/>
      <c r="R448" s="4"/>
      <c r="S448" s="4"/>
      <c r="T448" s="4"/>
      <c r="U448" s="4"/>
      <c r="V448" s="4"/>
      <c r="W448" s="4">
        <v>0</v>
      </c>
      <c r="X448" s="4">
        <v>1</v>
      </c>
      <c r="Y448" s="4">
        <v>0</v>
      </c>
      <c r="Z448" s="4"/>
      <c r="AA448" s="4"/>
      <c r="AB448" s="4"/>
    </row>
    <row r="449" spans="1:28" x14ac:dyDescent="0.2">
      <c r="A449" s="4">
        <v>50</v>
      </c>
      <c r="B449" s="4">
        <v>0</v>
      </c>
      <c r="C449" s="4">
        <v>0</v>
      </c>
      <c r="D449" s="4">
        <v>1</v>
      </c>
      <c r="E449" s="4">
        <v>229</v>
      </c>
      <c r="F449" s="4">
        <f>ROUND(Source!AZ438,O449)</f>
        <v>0</v>
      </c>
      <c r="G449" s="4" t="s">
        <v>100</v>
      </c>
      <c r="H449" s="4" t="s">
        <v>101</v>
      </c>
      <c r="I449" s="4"/>
      <c r="J449" s="4"/>
      <c r="K449" s="4">
        <v>229</v>
      </c>
      <c r="L449" s="4">
        <v>10</v>
      </c>
      <c r="M449" s="4">
        <v>3</v>
      </c>
      <c r="N449" s="4" t="s">
        <v>3</v>
      </c>
      <c r="O449" s="4">
        <v>2</v>
      </c>
      <c r="P449" s="4"/>
      <c r="Q449" s="4"/>
      <c r="R449" s="4"/>
      <c r="S449" s="4"/>
      <c r="T449" s="4"/>
      <c r="U449" s="4"/>
      <c r="V449" s="4"/>
      <c r="W449" s="4">
        <v>0</v>
      </c>
      <c r="X449" s="4">
        <v>1</v>
      </c>
      <c r="Y449" s="4">
        <v>0</v>
      </c>
      <c r="Z449" s="4"/>
      <c r="AA449" s="4"/>
      <c r="AB449" s="4"/>
    </row>
    <row r="450" spans="1:28" x14ac:dyDescent="0.2">
      <c r="A450" s="4">
        <v>50</v>
      </c>
      <c r="B450" s="4">
        <v>0</v>
      </c>
      <c r="C450" s="4">
        <v>0</v>
      </c>
      <c r="D450" s="4">
        <v>1</v>
      </c>
      <c r="E450" s="4">
        <v>203</v>
      </c>
      <c r="F450" s="4">
        <f>ROUND(Source!Q438,O450)</f>
        <v>9954.6</v>
      </c>
      <c r="G450" s="4" t="s">
        <v>102</v>
      </c>
      <c r="H450" s="4" t="s">
        <v>103</v>
      </c>
      <c r="I450" s="4"/>
      <c r="J450" s="4"/>
      <c r="K450" s="4">
        <v>203</v>
      </c>
      <c r="L450" s="4">
        <v>11</v>
      </c>
      <c r="M450" s="4">
        <v>3</v>
      </c>
      <c r="N450" s="4" t="s">
        <v>3</v>
      </c>
      <c r="O450" s="4">
        <v>2</v>
      </c>
      <c r="P450" s="4"/>
      <c r="Q450" s="4"/>
      <c r="R450" s="4"/>
      <c r="S450" s="4"/>
      <c r="T450" s="4"/>
      <c r="U450" s="4"/>
      <c r="V450" s="4"/>
      <c r="W450" s="4">
        <v>9954.6</v>
      </c>
      <c r="X450" s="4">
        <v>1</v>
      </c>
      <c r="Y450" s="4">
        <v>9954.6</v>
      </c>
      <c r="Z450" s="4"/>
      <c r="AA450" s="4"/>
      <c r="AB450" s="4"/>
    </row>
    <row r="451" spans="1:28" x14ac:dyDescent="0.2">
      <c r="A451" s="4">
        <v>50</v>
      </c>
      <c r="B451" s="4">
        <v>0</v>
      </c>
      <c r="C451" s="4">
        <v>0</v>
      </c>
      <c r="D451" s="4">
        <v>1</v>
      </c>
      <c r="E451" s="4">
        <v>231</v>
      </c>
      <c r="F451" s="4">
        <f>ROUND(Source!BB438,O451)</f>
        <v>0</v>
      </c>
      <c r="G451" s="4" t="s">
        <v>104</v>
      </c>
      <c r="H451" s="4" t="s">
        <v>105</v>
      </c>
      <c r="I451" s="4"/>
      <c r="J451" s="4"/>
      <c r="K451" s="4">
        <v>231</v>
      </c>
      <c r="L451" s="4">
        <v>12</v>
      </c>
      <c r="M451" s="4">
        <v>3</v>
      </c>
      <c r="N451" s="4" t="s">
        <v>3</v>
      </c>
      <c r="O451" s="4">
        <v>2</v>
      </c>
      <c r="P451" s="4"/>
      <c r="Q451" s="4"/>
      <c r="R451" s="4"/>
      <c r="S451" s="4"/>
      <c r="T451" s="4"/>
      <c r="U451" s="4"/>
      <c r="V451" s="4"/>
      <c r="W451" s="4">
        <v>0</v>
      </c>
      <c r="X451" s="4">
        <v>1</v>
      </c>
      <c r="Y451" s="4">
        <v>0</v>
      </c>
      <c r="Z451" s="4"/>
      <c r="AA451" s="4"/>
      <c r="AB451" s="4"/>
    </row>
    <row r="452" spans="1:28" x14ac:dyDescent="0.2">
      <c r="A452" s="4">
        <v>50</v>
      </c>
      <c r="B452" s="4">
        <v>0</v>
      </c>
      <c r="C452" s="4">
        <v>0</v>
      </c>
      <c r="D452" s="4">
        <v>1</v>
      </c>
      <c r="E452" s="4">
        <v>204</v>
      </c>
      <c r="F452" s="4">
        <f>ROUND(Source!R438,O452)</f>
        <v>2001.27</v>
      </c>
      <c r="G452" s="4" t="s">
        <v>106</v>
      </c>
      <c r="H452" s="4" t="s">
        <v>107</v>
      </c>
      <c r="I452" s="4"/>
      <c r="J452" s="4"/>
      <c r="K452" s="4">
        <v>204</v>
      </c>
      <c r="L452" s="4">
        <v>13</v>
      </c>
      <c r="M452" s="4">
        <v>3</v>
      </c>
      <c r="N452" s="4" t="s">
        <v>3</v>
      </c>
      <c r="O452" s="4">
        <v>2</v>
      </c>
      <c r="P452" s="4"/>
      <c r="Q452" s="4"/>
      <c r="R452" s="4"/>
      <c r="S452" s="4"/>
      <c r="T452" s="4"/>
      <c r="U452" s="4"/>
      <c r="V452" s="4"/>
      <c r="W452" s="4">
        <v>2001.27</v>
      </c>
      <c r="X452" s="4">
        <v>1</v>
      </c>
      <c r="Y452" s="4">
        <v>2001.27</v>
      </c>
      <c r="Z452" s="4"/>
      <c r="AA452" s="4"/>
      <c r="AB452" s="4"/>
    </row>
    <row r="453" spans="1:28" x14ac:dyDescent="0.2">
      <c r="A453" s="4">
        <v>50</v>
      </c>
      <c r="B453" s="4">
        <v>0</v>
      </c>
      <c r="C453" s="4">
        <v>0</v>
      </c>
      <c r="D453" s="4">
        <v>1</v>
      </c>
      <c r="E453" s="4">
        <v>205</v>
      </c>
      <c r="F453" s="4">
        <f>ROUND(Source!S438,O453)</f>
        <v>2571.7199999999998</v>
      </c>
      <c r="G453" s="4" t="s">
        <v>108</v>
      </c>
      <c r="H453" s="4" t="s">
        <v>109</v>
      </c>
      <c r="I453" s="4"/>
      <c r="J453" s="4"/>
      <c r="K453" s="4">
        <v>205</v>
      </c>
      <c r="L453" s="4">
        <v>14</v>
      </c>
      <c r="M453" s="4">
        <v>3</v>
      </c>
      <c r="N453" s="4" t="s">
        <v>3</v>
      </c>
      <c r="O453" s="4">
        <v>2</v>
      </c>
      <c r="P453" s="4"/>
      <c r="Q453" s="4"/>
      <c r="R453" s="4"/>
      <c r="S453" s="4"/>
      <c r="T453" s="4"/>
      <c r="U453" s="4"/>
      <c r="V453" s="4"/>
      <c r="W453" s="4">
        <v>2571.7199999999998</v>
      </c>
      <c r="X453" s="4">
        <v>1</v>
      </c>
      <c r="Y453" s="4">
        <v>2571.7199999999998</v>
      </c>
      <c r="Z453" s="4"/>
      <c r="AA453" s="4"/>
      <c r="AB453" s="4"/>
    </row>
    <row r="454" spans="1:28" x14ac:dyDescent="0.2">
      <c r="A454" s="4">
        <v>50</v>
      </c>
      <c r="B454" s="4">
        <v>0</v>
      </c>
      <c r="C454" s="4">
        <v>0</v>
      </c>
      <c r="D454" s="4">
        <v>1</v>
      </c>
      <c r="E454" s="4">
        <v>232</v>
      </c>
      <c r="F454" s="4">
        <f>ROUND(Source!BC438,O454)</f>
        <v>0</v>
      </c>
      <c r="G454" s="4" t="s">
        <v>110</v>
      </c>
      <c r="H454" s="4" t="s">
        <v>111</v>
      </c>
      <c r="I454" s="4"/>
      <c r="J454" s="4"/>
      <c r="K454" s="4">
        <v>232</v>
      </c>
      <c r="L454" s="4">
        <v>15</v>
      </c>
      <c r="M454" s="4">
        <v>3</v>
      </c>
      <c r="N454" s="4" t="s">
        <v>3</v>
      </c>
      <c r="O454" s="4">
        <v>2</v>
      </c>
      <c r="P454" s="4"/>
      <c r="Q454" s="4"/>
      <c r="R454" s="4"/>
      <c r="S454" s="4"/>
      <c r="T454" s="4"/>
      <c r="U454" s="4"/>
      <c r="V454" s="4"/>
      <c r="W454" s="4">
        <v>0</v>
      </c>
      <c r="X454" s="4">
        <v>1</v>
      </c>
      <c r="Y454" s="4">
        <v>0</v>
      </c>
      <c r="Z454" s="4"/>
      <c r="AA454" s="4"/>
      <c r="AB454" s="4"/>
    </row>
    <row r="455" spans="1:28" x14ac:dyDescent="0.2">
      <c r="A455" s="4">
        <v>50</v>
      </c>
      <c r="B455" s="4">
        <v>0</v>
      </c>
      <c r="C455" s="4">
        <v>0</v>
      </c>
      <c r="D455" s="4">
        <v>1</v>
      </c>
      <c r="E455" s="4">
        <v>214</v>
      </c>
      <c r="F455" s="4">
        <f>ROUND(Source!AS438,O455)</f>
        <v>53980.35</v>
      </c>
      <c r="G455" s="4" t="s">
        <v>112</v>
      </c>
      <c r="H455" s="4" t="s">
        <v>113</v>
      </c>
      <c r="I455" s="4"/>
      <c r="J455" s="4"/>
      <c r="K455" s="4">
        <v>214</v>
      </c>
      <c r="L455" s="4">
        <v>16</v>
      </c>
      <c r="M455" s="4">
        <v>3</v>
      </c>
      <c r="N455" s="4" t="s">
        <v>3</v>
      </c>
      <c r="O455" s="4">
        <v>2</v>
      </c>
      <c r="P455" s="4"/>
      <c r="Q455" s="4"/>
      <c r="R455" s="4"/>
      <c r="S455" s="4"/>
      <c r="T455" s="4"/>
      <c r="U455" s="4"/>
      <c r="V455" s="4"/>
      <c r="W455" s="4">
        <v>53980.35</v>
      </c>
      <c r="X455" s="4">
        <v>1</v>
      </c>
      <c r="Y455" s="4">
        <v>53980.35</v>
      </c>
      <c r="Z455" s="4"/>
      <c r="AA455" s="4"/>
      <c r="AB455" s="4"/>
    </row>
    <row r="456" spans="1:28" x14ac:dyDescent="0.2">
      <c r="A456" s="4">
        <v>50</v>
      </c>
      <c r="B456" s="4">
        <v>0</v>
      </c>
      <c r="C456" s="4">
        <v>0</v>
      </c>
      <c r="D456" s="4">
        <v>1</v>
      </c>
      <c r="E456" s="4">
        <v>215</v>
      </c>
      <c r="F456" s="4">
        <f>ROUND(Source!AT438,O456)</f>
        <v>0</v>
      </c>
      <c r="G456" s="4" t="s">
        <v>114</v>
      </c>
      <c r="H456" s="4" t="s">
        <v>115</v>
      </c>
      <c r="I456" s="4"/>
      <c r="J456" s="4"/>
      <c r="K456" s="4">
        <v>215</v>
      </c>
      <c r="L456" s="4">
        <v>17</v>
      </c>
      <c r="M456" s="4">
        <v>3</v>
      </c>
      <c r="N456" s="4" t="s">
        <v>3</v>
      </c>
      <c r="O456" s="4">
        <v>2</v>
      </c>
      <c r="P456" s="4"/>
      <c r="Q456" s="4"/>
      <c r="R456" s="4"/>
      <c r="S456" s="4"/>
      <c r="T456" s="4"/>
      <c r="U456" s="4"/>
      <c r="V456" s="4"/>
      <c r="W456" s="4">
        <v>0</v>
      </c>
      <c r="X456" s="4">
        <v>1</v>
      </c>
      <c r="Y456" s="4">
        <v>0</v>
      </c>
      <c r="Z456" s="4"/>
      <c r="AA456" s="4"/>
      <c r="AB456" s="4"/>
    </row>
    <row r="457" spans="1:28" x14ac:dyDescent="0.2">
      <c r="A457" s="4">
        <v>50</v>
      </c>
      <c r="B457" s="4">
        <v>0</v>
      </c>
      <c r="C457" s="4">
        <v>0</v>
      </c>
      <c r="D457" s="4">
        <v>1</v>
      </c>
      <c r="E457" s="4">
        <v>217</v>
      </c>
      <c r="F457" s="4">
        <f>ROUND(Source!AU438,O457)</f>
        <v>0</v>
      </c>
      <c r="G457" s="4" t="s">
        <v>116</v>
      </c>
      <c r="H457" s="4" t="s">
        <v>117</v>
      </c>
      <c r="I457" s="4"/>
      <c r="J457" s="4"/>
      <c r="K457" s="4">
        <v>217</v>
      </c>
      <c r="L457" s="4">
        <v>18</v>
      </c>
      <c r="M457" s="4">
        <v>3</v>
      </c>
      <c r="N457" s="4" t="s">
        <v>3</v>
      </c>
      <c r="O457" s="4">
        <v>2</v>
      </c>
      <c r="P457" s="4"/>
      <c r="Q457" s="4"/>
      <c r="R457" s="4"/>
      <c r="S457" s="4"/>
      <c r="T457" s="4"/>
      <c r="U457" s="4"/>
      <c r="V457" s="4"/>
      <c r="W457" s="4">
        <v>0</v>
      </c>
      <c r="X457" s="4">
        <v>1</v>
      </c>
      <c r="Y457" s="4">
        <v>0</v>
      </c>
      <c r="Z457" s="4"/>
      <c r="AA457" s="4"/>
      <c r="AB457" s="4"/>
    </row>
    <row r="458" spans="1:28" x14ac:dyDescent="0.2">
      <c r="A458" s="4">
        <v>50</v>
      </c>
      <c r="B458" s="4">
        <v>0</v>
      </c>
      <c r="C458" s="4">
        <v>0</v>
      </c>
      <c r="D458" s="4">
        <v>1</v>
      </c>
      <c r="E458" s="4">
        <v>230</v>
      </c>
      <c r="F458" s="4">
        <f>ROUND(Source!BA438,O458)</f>
        <v>0</v>
      </c>
      <c r="G458" s="4" t="s">
        <v>118</v>
      </c>
      <c r="H458" s="4" t="s">
        <v>119</v>
      </c>
      <c r="I458" s="4"/>
      <c r="J458" s="4"/>
      <c r="K458" s="4">
        <v>230</v>
      </c>
      <c r="L458" s="4">
        <v>19</v>
      </c>
      <c r="M458" s="4">
        <v>3</v>
      </c>
      <c r="N458" s="4" t="s">
        <v>3</v>
      </c>
      <c r="O458" s="4">
        <v>2</v>
      </c>
      <c r="P458" s="4"/>
      <c r="Q458" s="4"/>
      <c r="R458" s="4"/>
      <c r="S458" s="4"/>
      <c r="T458" s="4"/>
      <c r="U458" s="4"/>
      <c r="V458" s="4"/>
      <c r="W458" s="4">
        <v>0</v>
      </c>
      <c r="X458" s="4">
        <v>1</v>
      </c>
      <c r="Y458" s="4">
        <v>0</v>
      </c>
      <c r="Z458" s="4"/>
      <c r="AA458" s="4"/>
      <c r="AB458" s="4"/>
    </row>
    <row r="459" spans="1:28" x14ac:dyDescent="0.2">
      <c r="A459" s="4">
        <v>50</v>
      </c>
      <c r="B459" s="4">
        <v>0</v>
      </c>
      <c r="C459" s="4">
        <v>0</v>
      </c>
      <c r="D459" s="4">
        <v>1</v>
      </c>
      <c r="E459" s="4">
        <v>206</v>
      </c>
      <c r="F459" s="4">
        <f>ROUND(Source!T438,O459)</f>
        <v>0</v>
      </c>
      <c r="G459" s="4" t="s">
        <v>120</v>
      </c>
      <c r="H459" s="4" t="s">
        <v>121</v>
      </c>
      <c r="I459" s="4"/>
      <c r="J459" s="4"/>
      <c r="K459" s="4">
        <v>206</v>
      </c>
      <c r="L459" s="4">
        <v>20</v>
      </c>
      <c r="M459" s="4">
        <v>3</v>
      </c>
      <c r="N459" s="4" t="s">
        <v>3</v>
      </c>
      <c r="O459" s="4">
        <v>2</v>
      </c>
      <c r="P459" s="4"/>
      <c r="Q459" s="4"/>
      <c r="R459" s="4"/>
      <c r="S459" s="4"/>
      <c r="T459" s="4"/>
      <c r="U459" s="4"/>
      <c r="V459" s="4"/>
      <c r="W459" s="4">
        <v>0</v>
      </c>
      <c r="X459" s="4">
        <v>1</v>
      </c>
      <c r="Y459" s="4">
        <v>0</v>
      </c>
      <c r="Z459" s="4"/>
      <c r="AA459" s="4"/>
      <c r="AB459" s="4"/>
    </row>
    <row r="460" spans="1:28" x14ac:dyDescent="0.2">
      <c r="A460" s="4">
        <v>50</v>
      </c>
      <c r="B460" s="4">
        <v>0</v>
      </c>
      <c r="C460" s="4">
        <v>0</v>
      </c>
      <c r="D460" s="4">
        <v>1</v>
      </c>
      <c r="E460" s="4">
        <v>207</v>
      </c>
      <c r="F460" s="4">
        <f>Source!U438</f>
        <v>9.2051280000000002</v>
      </c>
      <c r="G460" s="4" t="s">
        <v>122</v>
      </c>
      <c r="H460" s="4" t="s">
        <v>123</v>
      </c>
      <c r="I460" s="4"/>
      <c r="J460" s="4"/>
      <c r="K460" s="4">
        <v>207</v>
      </c>
      <c r="L460" s="4">
        <v>21</v>
      </c>
      <c r="M460" s="4">
        <v>3</v>
      </c>
      <c r="N460" s="4" t="s">
        <v>3</v>
      </c>
      <c r="O460" s="4">
        <v>-1</v>
      </c>
      <c r="P460" s="4"/>
      <c r="Q460" s="4"/>
      <c r="R460" s="4"/>
      <c r="S460" s="4"/>
      <c r="T460" s="4"/>
      <c r="U460" s="4"/>
      <c r="V460" s="4"/>
      <c r="W460" s="4">
        <v>9.2051280000000002</v>
      </c>
      <c r="X460" s="4">
        <v>1</v>
      </c>
      <c r="Y460" s="4">
        <v>9.2051280000000002</v>
      </c>
      <c r="Z460" s="4"/>
      <c r="AA460" s="4"/>
      <c r="AB460" s="4"/>
    </row>
    <row r="461" spans="1:28" x14ac:dyDescent="0.2">
      <c r="A461" s="4">
        <v>50</v>
      </c>
      <c r="B461" s="4">
        <v>0</v>
      </c>
      <c r="C461" s="4">
        <v>0</v>
      </c>
      <c r="D461" s="4">
        <v>1</v>
      </c>
      <c r="E461" s="4">
        <v>208</v>
      </c>
      <c r="F461" s="4">
        <f>Source!V438</f>
        <v>5.0127660000000001</v>
      </c>
      <c r="G461" s="4" t="s">
        <v>124</v>
      </c>
      <c r="H461" s="4" t="s">
        <v>125</v>
      </c>
      <c r="I461" s="4"/>
      <c r="J461" s="4"/>
      <c r="K461" s="4">
        <v>208</v>
      </c>
      <c r="L461" s="4">
        <v>22</v>
      </c>
      <c r="M461" s="4">
        <v>3</v>
      </c>
      <c r="N461" s="4" t="s">
        <v>3</v>
      </c>
      <c r="O461" s="4">
        <v>-1</v>
      </c>
      <c r="P461" s="4"/>
      <c r="Q461" s="4"/>
      <c r="R461" s="4"/>
      <c r="S461" s="4"/>
      <c r="T461" s="4"/>
      <c r="U461" s="4"/>
      <c r="V461" s="4"/>
      <c r="W461" s="4">
        <v>5.0127660000000001</v>
      </c>
      <c r="X461" s="4">
        <v>1</v>
      </c>
      <c r="Y461" s="4">
        <v>5.0127660000000001</v>
      </c>
      <c r="Z461" s="4"/>
      <c r="AA461" s="4"/>
      <c r="AB461" s="4"/>
    </row>
    <row r="462" spans="1:28" x14ac:dyDescent="0.2">
      <c r="A462" s="4">
        <v>50</v>
      </c>
      <c r="B462" s="4">
        <v>0</v>
      </c>
      <c r="C462" s="4">
        <v>0</v>
      </c>
      <c r="D462" s="4">
        <v>1</v>
      </c>
      <c r="E462" s="4">
        <v>209</v>
      </c>
      <c r="F462" s="4">
        <f>ROUND(Source!W438,O462)</f>
        <v>0</v>
      </c>
      <c r="G462" s="4" t="s">
        <v>126</v>
      </c>
      <c r="H462" s="4" t="s">
        <v>127</v>
      </c>
      <c r="I462" s="4"/>
      <c r="J462" s="4"/>
      <c r="K462" s="4">
        <v>209</v>
      </c>
      <c r="L462" s="4">
        <v>23</v>
      </c>
      <c r="M462" s="4">
        <v>3</v>
      </c>
      <c r="N462" s="4" t="s">
        <v>3</v>
      </c>
      <c r="O462" s="4">
        <v>2</v>
      </c>
      <c r="P462" s="4"/>
      <c r="Q462" s="4"/>
      <c r="R462" s="4"/>
      <c r="S462" s="4"/>
      <c r="T462" s="4"/>
      <c r="U462" s="4"/>
      <c r="V462" s="4"/>
      <c r="W462" s="4">
        <v>0</v>
      </c>
      <c r="X462" s="4">
        <v>1</v>
      </c>
      <c r="Y462" s="4">
        <v>0</v>
      </c>
      <c r="Z462" s="4"/>
      <c r="AA462" s="4"/>
      <c r="AB462" s="4"/>
    </row>
    <row r="463" spans="1:28" x14ac:dyDescent="0.2">
      <c r="A463" s="4">
        <v>50</v>
      </c>
      <c r="B463" s="4">
        <v>0</v>
      </c>
      <c r="C463" s="4">
        <v>0</v>
      </c>
      <c r="D463" s="4">
        <v>1</v>
      </c>
      <c r="E463" s="4">
        <v>233</v>
      </c>
      <c r="F463" s="4">
        <f>ROUND(Source!BD438,O463)</f>
        <v>0</v>
      </c>
      <c r="G463" s="4" t="s">
        <v>128</v>
      </c>
      <c r="H463" s="4" t="s">
        <v>129</v>
      </c>
      <c r="I463" s="4"/>
      <c r="J463" s="4"/>
      <c r="K463" s="4">
        <v>233</v>
      </c>
      <c r="L463" s="4">
        <v>24</v>
      </c>
      <c r="M463" s="4">
        <v>3</v>
      </c>
      <c r="N463" s="4" t="s">
        <v>3</v>
      </c>
      <c r="O463" s="4">
        <v>2</v>
      </c>
      <c r="P463" s="4"/>
      <c r="Q463" s="4"/>
      <c r="R463" s="4"/>
      <c r="S463" s="4"/>
      <c r="T463" s="4"/>
      <c r="U463" s="4"/>
      <c r="V463" s="4"/>
      <c r="W463" s="4">
        <v>0</v>
      </c>
      <c r="X463" s="4">
        <v>1</v>
      </c>
      <c r="Y463" s="4">
        <v>0</v>
      </c>
      <c r="Z463" s="4"/>
      <c r="AA463" s="4"/>
      <c r="AB463" s="4"/>
    </row>
    <row r="464" spans="1:28" x14ac:dyDescent="0.2">
      <c r="A464" s="4">
        <v>50</v>
      </c>
      <c r="B464" s="4">
        <v>0</v>
      </c>
      <c r="C464" s="4">
        <v>0</v>
      </c>
      <c r="D464" s="4">
        <v>1</v>
      </c>
      <c r="E464" s="4">
        <v>210</v>
      </c>
      <c r="F464" s="4">
        <f>ROUND(Source!X438,O464)</f>
        <v>5278.23</v>
      </c>
      <c r="G464" s="4" t="s">
        <v>130</v>
      </c>
      <c r="H464" s="4" t="s">
        <v>131</v>
      </c>
      <c r="I464" s="4"/>
      <c r="J464" s="4"/>
      <c r="K464" s="4">
        <v>210</v>
      </c>
      <c r="L464" s="4">
        <v>25</v>
      </c>
      <c r="M464" s="4">
        <v>3</v>
      </c>
      <c r="N464" s="4" t="s">
        <v>3</v>
      </c>
      <c r="O464" s="4">
        <v>2</v>
      </c>
      <c r="P464" s="4"/>
      <c r="Q464" s="4"/>
      <c r="R464" s="4"/>
      <c r="S464" s="4"/>
      <c r="T464" s="4"/>
      <c r="U464" s="4"/>
      <c r="V464" s="4"/>
      <c r="W464" s="4">
        <v>5278.23</v>
      </c>
      <c r="X464" s="4">
        <v>1</v>
      </c>
      <c r="Y464" s="4">
        <v>5278.23</v>
      </c>
      <c r="Z464" s="4"/>
      <c r="AA464" s="4"/>
      <c r="AB464" s="4"/>
    </row>
    <row r="465" spans="1:245" x14ac:dyDescent="0.2">
      <c r="A465" s="4">
        <v>50</v>
      </c>
      <c r="B465" s="4">
        <v>0</v>
      </c>
      <c r="C465" s="4">
        <v>0</v>
      </c>
      <c r="D465" s="4">
        <v>1</v>
      </c>
      <c r="E465" s="4">
        <v>211</v>
      </c>
      <c r="F465" s="4">
        <f>ROUND(Source!Y438,O465)</f>
        <v>3817.31</v>
      </c>
      <c r="G465" s="4" t="s">
        <v>132</v>
      </c>
      <c r="H465" s="4" t="s">
        <v>133</v>
      </c>
      <c r="I465" s="4"/>
      <c r="J465" s="4"/>
      <c r="K465" s="4">
        <v>211</v>
      </c>
      <c r="L465" s="4">
        <v>26</v>
      </c>
      <c r="M465" s="4">
        <v>3</v>
      </c>
      <c r="N465" s="4" t="s">
        <v>3</v>
      </c>
      <c r="O465" s="4">
        <v>2</v>
      </c>
      <c r="P465" s="4"/>
      <c r="Q465" s="4"/>
      <c r="R465" s="4"/>
      <c r="S465" s="4"/>
      <c r="T465" s="4"/>
      <c r="U465" s="4"/>
      <c r="V465" s="4"/>
      <c r="W465" s="4">
        <v>3817.31</v>
      </c>
      <c r="X465" s="4">
        <v>1</v>
      </c>
      <c r="Y465" s="4">
        <v>3817.31</v>
      </c>
      <c r="Z465" s="4"/>
      <c r="AA465" s="4"/>
      <c r="AB465" s="4"/>
    </row>
    <row r="466" spans="1:245" x14ac:dyDescent="0.2">
      <c r="A466" s="4">
        <v>50</v>
      </c>
      <c r="B466" s="4">
        <v>0</v>
      </c>
      <c r="C466" s="4">
        <v>0</v>
      </c>
      <c r="D466" s="4">
        <v>1</v>
      </c>
      <c r="E466" s="4">
        <v>224</v>
      </c>
      <c r="F466" s="4">
        <f>ROUND(Source!AR438,O466)</f>
        <v>53980.35</v>
      </c>
      <c r="G466" s="4" t="s">
        <v>134</v>
      </c>
      <c r="H466" s="4" t="s">
        <v>135</v>
      </c>
      <c r="I466" s="4"/>
      <c r="J466" s="4"/>
      <c r="K466" s="4">
        <v>224</v>
      </c>
      <c r="L466" s="4">
        <v>27</v>
      </c>
      <c r="M466" s="4">
        <v>3</v>
      </c>
      <c r="N466" s="4" t="s">
        <v>3</v>
      </c>
      <c r="O466" s="4">
        <v>2</v>
      </c>
      <c r="P466" s="4"/>
      <c r="Q466" s="4"/>
      <c r="R466" s="4"/>
      <c r="S466" s="4"/>
      <c r="T466" s="4"/>
      <c r="U466" s="4"/>
      <c r="V466" s="4"/>
      <c r="W466" s="4">
        <v>53980.35</v>
      </c>
      <c r="X466" s="4">
        <v>1</v>
      </c>
      <c r="Y466" s="4">
        <v>53980.35</v>
      </c>
      <c r="Z466" s="4"/>
      <c r="AA466" s="4"/>
      <c r="AB466" s="4"/>
    </row>
    <row r="467" spans="1:245" x14ac:dyDescent="0.2">
      <c r="A467" s="4">
        <v>50</v>
      </c>
      <c r="B467" s="4">
        <v>1</v>
      </c>
      <c r="C467" s="4">
        <v>0</v>
      </c>
      <c r="D467" s="4">
        <v>2</v>
      </c>
      <c r="E467" s="4">
        <v>0</v>
      </c>
      <c r="F467" s="4">
        <f>ROUND(F453,O467)</f>
        <v>2571.7199999999998</v>
      </c>
      <c r="G467" s="4" t="s">
        <v>136</v>
      </c>
      <c r="H467" s="4" t="s">
        <v>108</v>
      </c>
      <c r="I467" s="4"/>
      <c r="J467" s="4"/>
      <c r="K467" s="4">
        <v>212</v>
      </c>
      <c r="L467" s="4">
        <v>28</v>
      </c>
      <c r="M467" s="4">
        <v>0</v>
      </c>
      <c r="N467" s="4" t="s">
        <v>3</v>
      </c>
      <c r="O467" s="4">
        <v>2</v>
      </c>
      <c r="P467" s="4"/>
      <c r="Q467" s="4"/>
      <c r="R467" s="4"/>
      <c r="S467" s="4"/>
      <c r="T467" s="4"/>
      <c r="U467" s="4"/>
      <c r="V467" s="4"/>
      <c r="W467" s="4">
        <v>2571.7199999999998</v>
      </c>
      <c r="X467" s="4">
        <v>1</v>
      </c>
      <c r="Y467" s="4">
        <v>2571.7199999999998</v>
      </c>
      <c r="Z467" s="4"/>
      <c r="AA467" s="4"/>
      <c r="AB467" s="4"/>
    </row>
    <row r="468" spans="1:245" x14ac:dyDescent="0.2">
      <c r="A468" s="4">
        <v>50</v>
      </c>
      <c r="B468" s="4">
        <v>1</v>
      </c>
      <c r="C468" s="4">
        <v>0</v>
      </c>
      <c r="D468" s="4">
        <v>2</v>
      </c>
      <c r="E468" s="4">
        <v>0</v>
      </c>
      <c r="F468" s="4">
        <f>ROUND(F450,O468)</f>
        <v>9954.6</v>
      </c>
      <c r="G468" s="4" t="s">
        <v>137</v>
      </c>
      <c r="H468" s="4" t="s">
        <v>138</v>
      </c>
      <c r="I468" s="4"/>
      <c r="J468" s="4"/>
      <c r="K468" s="4">
        <v>212</v>
      </c>
      <c r="L468" s="4">
        <v>29</v>
      </c>
      <c r="M468" s="4">
        <v>0</v>
      </c>
      <c r="N468" s="4" t="s">
        <v>3</v>
      </c>
      <c r="O468" s="4">
        <v>2</v>
      </c>
      <c r="P468" s="4"/>
      <c r="Q468" s="4"/>
      <c r="R468" s="4"/>
      <c r="S468" s="4"/>
      <c r="T468" s="4"/>
      <c r="U468" s="4"/>
      <c r="V468" s="4"/>
      <c r="W468" s="4">
        <v>9954.6</v>
      </c>
      <c r="X468" s="4">
        <v>1</v>
      </c>
      <c r="Y468" s="4">
        <v>9954.6</v>
      </c>
      <c r="Z468" s="4"/>
      <c r="AA468" s="4"/>
      <c r="AB468" s="4"/>
    </row>
    <row r="469" spans="1:245" x14ac:dyDescent="0.2">
      <c r="A469" s="4">
        <v>50</v>
      </c>
      <c r="B469" s="4">
        <v>1</v>
      </c>
      <c r="C469" s="4">
        <v>0</v>
      </c>
      <c r="D469" s="4">
        <v>2</v>
      </c>
      <c r="E469" s="4">
        <v>0</v>
      </c>
      <c r="F469" s="4">
        <f>ROUND(F441,O469)</f>
        <v>32358.49</v>
      </c>
      <c r="G469" s="4" t="s">
        <v>139</v>
      </c>
      <c r="H469" s="4" t="s">
        <v>140</v>
      </c>
      <c r="I469" s="4"/>
      <c r="J469" s="4"/>
      <c r="K469" s="4">
        <v>212</v>
      </c>
      <c r="L469" s="4">
        <v>30</v>
      </c>
      <c r="M469" s="4">
        <v>0</v>
      </c>
      <c r="N469" s="4" t="s">
        <v>3</v>
      </c>
      <c r="O469" s="4">
        <v>2</v>
      </c>
      <c r="P469" s="4"/>
      <c r="Q469" s="4"/>
      <c r="R469" s="4"/>
      <c r="S469" s="4"/>
      <c r="T469" s="4"/>
      <c r="U469" s="4"/>
      <c r="V469" s="4"/>
      <c r="W469" s="4">
        <v>32358.49</v>
      </c>
      <c r="X469" s="4">
        <v>1</v>
      </c>
      <c r="Y469" s="4">
        <v>32358.49</v>
      </c>
      <c r="Z469" s="4"/>
      <c r="AA469" s="4"/>
      <c r="AB469" s="4"/>
    </row>
    <row r="470" spans="1:245" x14ac:dyDescent="0.2">
      <c r="A470" s="4">
        <v>50</v>
      </c>
      <c r="B470" s="4">
        <v>1</v>
      </c>
      <c r="C470" s="4">
        <v>0</v>
      </c>
      <c r="D470" s="4">
        <v>2</v>
      </c>
      <c r="E470" s="4">
        <v>0</v>
      </c>
      <c r="F470" s="4">
        <f>ROUND(F464,O470)</f>
        <v>5278.23</v>
      </c>
      <c r="G470" s="4" t="s">
        <v>141</v>
      </c>
      <c r="H470" s="4" t="s">
        <v>130</v>
      </c>
      <c r="I470" s="4"/>
      <c r="J470" s="4"/>
      <c r="K470" s="4">
        <v>212</v>
      </c>
      <c r="L470" s="4">
        <v>31</v>
      </c>
      <c r="M470" s="4">
        <v>0</v>
      </c>
      <c r="N470" s="4" t="s">
        <v>3</v>
      </c>
      <c r="O470" s="4">
        <v>2</v>
      </c>
      <c r="P470" s="4"/>
      <c r="Q470" s="4"/>
      <c r="R470" s="4"/>
      <c r="S470" s="4"/>
      <c r="T470" s="4"/>
      <c r="U470" s="4"/>
      <c r="V470" s="4"/>
      <c r="W470" s="4">
        <v>5278.23</v>
      </c>
      <c r="X470" s="4">
        <v>1</v>
      </c>
      <c r="Y470" s="4">
        <v>5278.23</v>
      </c>
      <c r="Z470" s="4"/>
      <c r="AA470" s="4"/>
      <c r="AB470" s="4"/>
    </row>
    <row r="471" spans="1:245" x14ac:dyDescent="0.2">
      <c r="A471" s="4">
        <v>50</v>
      </c>
      <c r="B471" s="4">
        <v>1</v>
      </c>
      <c r="C471" s="4">
        <v>0</v>
      </c>
      <c r="D471" s="4">
        <v>2</v>
      </c>
      <c r="E471" s="4">
        <v>0</v>
      </c>
      <c r="F471" s="4">
        <f>ROUND(F465,O471)</f>
        <v>3817.31</v>
      </c>
      <c r="G471" s="4" t="s">
        <v>142</v>
      </c>
      <c r="H471" s="4" t="s">
        <v>143</v>
      </c>
      <c r="I471" s="4"/>
      <c r="J471" s="4"/>
      <c r="K471" s="4">
        <v>212</v>
      </c>
      <c r="L471" s="4">
        <v>32</v>
      </c>
      <c r="M471" s="4">
        <v>0</v>
      </c>
      <c r="N471" s="4" t="s">
        <v>3</v>
      </c>
      <c r="O471" s="4">
        <v>2</v>
      </c>
      <c r="P471" s="4"/>
      <c r="Q471" s="4"/>
      <c r="R471" s="4"/>
      <c r="S471" s="4"/>
      <c r="T471" s="4"/>
      <c r="U471" s="4"/>
      <c r="V471" s="4"/>
      <c r="W471" s="4">
        <v>3817.31</v>
      </c>
      <c r="X471" s="4">
        <v>1</v>
      </c>
      <c r="Y471" s="4">
        <v>3817.31</v>
      </c>
      <c r="Z471" s="4"/>
      <c r="AA471" s="4"/>
      <c r="AB471" s="4"/>
    </row>
    <row r="472" spans="1:245" x14ac:dyDescent="0.2">
      <c r="A472" s="4">
        <v>50</v>
      </c>
      <c r="B472" s="4">
        <v>1</v>
      </c>
      <c r="C472" s="4">
        <v>0</v>
      </c>
      <c r="D472" s="4">
        <v>2</v>
      </c>
      <c r="E472" s="4">
        <v>0</v>
      </c>
      <c r="F472" s="4">
        <f>ROUND(F467+F468+F469+F470+F471,O472)</f>
        <v>53980.35</v>
      </c>
      <c r="G472" s="4" t="s">
        <v>144</v>
      </c>
      <c r="H472" s="4" t="s">
        <v>134</v>
      </c>
      <c r="I472" s="4"/>
      <c r="J472" s="4"/>
      <c r="K472" s="4">
        <v>212</v>
      </c>
      <c r="L472" s="4">
        <v>33</v>
      </c>
      <c r="M472" s="4">
        <v>0</v>
      </c>
      <c r="N472" s="4" t="s">
        <v>3</v>
      </c>
      <c r="O472" s="4">
        <v>2</v>
      </c>
      <c r="P472" s="4"/>
      <c r="Q472" s="4"/>
      <c r="R472" s="4"/>
      <c r="S472" s="4"/>
      <c r="T472" s="4"/>
      <c r="U472" s="4"/>
      <c r="V472" s="4"/>
      <c r="W472" s="4">
        <v>53980.35</v>
      </c>
      <c r="X472" s="4">
        <v>1</v>
      </c>
      <c r="Y472" s="4">
        <v>53980.35</v>
      </c>
      <c r="Z472" s="4"/>
      <c r="AA472" s="4"/>
      <c r="AB472" s="4"/>
    </row>
    <row r="473" spans="1:245" x14ac:dyDescent="0.2">
      <c r="A473" s="4">
        <v>50</v>
      </c>
      <c r="B473" s="4">
        <v>1</v>
      </c>
      <c r="C473" s="4">
        <v>0</v>
      </c>
      <c r="D473" s="4">
        <v>2</v>
      </c>
      <c r="E473" s="4">
        <v>0</v>
      </c>
      <c r="F473" s="4">
        <f>ROUND(F472*0.2,O473)</f>
        <v>10796.07</v>
      </c>
      <c r="G473" s="4" t="s">
        <v>145</v>
      </c>
      <c r="H473" s="4" t="s">
        <v>146</v>
      </c>
      <c r="I473" s="4"/>
      <c r="J473" s="4"/>
      <c r="K473" s="4">
        <v>212</v>
      </c>
      <c r="L473" s="4">
        <v>34</v>
      </c>
      <c r="M473" s="4">
        <v>0</v>
      </c>
      <c r="N473" s="4" t="s">
        <v>3</v>
      </c>
      <c r="O473" s="4">
        <v>2</v>
      </c>
      <c r="P473" s="4"/>
      <c r="Q473" s="4"/>
      <c r="R473" s="4"/>
      <c r="S473" s="4"/>
      <c r="T473" s="4"/>
      <c r="U473" s="4"/>
      <c r="V473" s="4"/>
      <c r="W473" s="4">
        <v>10796.07</v>
      </c>
      <c r="X473" s="4">
        <v>1</v>
      </c>
      <c r="Y473" s="4">
        <v>10796.07</v>
      </c>
      <c r="Z473" s="4"/>
      <c r="AA473" s="4"/>
      <c r="AB473" s="4"/>
    </row>
    <row r="474" spans="1:245" x14ac:dyDescent="0.2">
      <c r="A474" s="4">
        <v>50</v>
      </c>
      <c r="B474" s="4">
        <v>1</v>
      </c>
      <c r="C474" s="4">
        <v>0</v>
      </c>
      <c r="D474" s="4">
        <v>2</v>
      </c>
      <c r="E474" s="4">
        <v>213</v>
      </c>
      <c r="F474" s="4">
        <f>ROUND(F472+F473,O474)</f>
        <v>64776.42</v>
      </c>
      <c r="G474" s="4" t="s">
        <v>147</v>
      </c>
      <c r="H474" s="4" t="s">
        <v>148</v>
      </c>
      <c r="I474" s="4"/>
      <c r="J474" s="4"/>
      <c r="K474" s="4">
        <v>212</v>
      </c>
      <c r="L474" s="4">
        <v>35</v>
      </c>
      <c r="M474" s="4">
        <v>0</v>
      </c>
      <c r="N474" s="4" t="s">
        <v>3</v>
      </c>
      <c r="O474" s="4">
        <v>2</v>
      </c>
      <c r="P474" s="4"/>
      <c r="Q474" s="4"/>
      <c r="R474" s="4"/>
      <c r="S474" s="4"/>
      <c r="T474" s="4"/>
      <c r="U474" s="4"/>
      <c r="V474" s="4"/>
      <c r="W474" s="4">
        <v>64776.42</v>
      </c>
      <c r="X474" s="4">
        <v>1</v>
      </c>
      <c r="Y474" s="4">
        <v>64776.42</v>
      </c>
      <c r="Z474" s="4"/>
      <c r="AA474" s="4"/>
      <c r="AB474" s="4"/>
    </row>
    <row r="476" spans="1:245" x14ac:dyDescent="0.2">
      <c r="A476" s="1">
        <v>4</v>
      </c>
      <c r="B476" s="1">
        <v>1</v>
      </c>
      <c r="C476" s="1"/>
      <c r="D476" s="1">
        <f>ROW(A495)</f>
        <v>495</v>
      </c>
      <c r="E476" s="1"/>
      <c r="F476" s="1" t="s">
        <v>14</v>
      </c>
      <c r="G476" s="1" t="s">
        <v>549</v>
      </c>
      <c r="H476" s="1" t="s">
        <v>3</v>
      </c>
      <c r="I476" s="1">
        <v>0</v>
      </c>
      <c r="J476" s="1"/>
      <c r="K476" s="1">
        <v>0</v>
      </c>
      <c r="L476" s="1"/>
      <c r="M476" s="1" t="s">
        <v>3</v>
      </c>
      <c r="N476" s="1"/>
      <c r="O476" s="1"/>
      <c r="P476" s="1"/>
      <c r="Q476" s="1"/>
      <c r="R476" s="1"/>
      <c r="S476" s="1">
        <v>0</v>
      </c>
      <c r="T476" s="1"/>
      <c r="U476" s="1" t="s">
        <v>3</v>
      </c>
      <c r="V476" s="1">
        <v>0</v>
      </c>
      <c r="W476" s="1"/>
      <c r="X476" s="1"/>
      <c r="Y476" s="1"/>
      <c r="Z476" s="1"/>
      <c r="AA476" s="1"/>
      <c r="AB476" s="1" t="s">
        <v>3</v>
      </c>
      <c r="AC476" s="1" t="s">
        <v>3</v>
      </c>
      <c r="AD476" s="1" t="s">
        <v>3</v>
      </c>
      <c r="AE476" s="1" t="s">
        <v>3</v>
      </c>
      <c r="AF476" s="1" t="s">
        <v>3</v>
      </c>
      <c r="AG476" s="1" t="s">
        <v>3</v>
      </c>
      <c r="AH476" s="1"/>
      <c r="AI476" s="1"/>
      <c r="AJ476" s="1"/>
      <c r="AK476" s="1"/>
      <c r="AL476" s="1"/>
      <c r="AM476" s="1"/>
      <c r="AN476" s="1"/>
      <c r="AO476" s="1"/>
      <c r="AP476" s="1" t="s">
        <v>3</v>
      </c>
      <c r="AQ476" s="1" t="s">
        <v>3</v>
      </c>
      <c r="AR476" s="1" t="s">
        <v>3</v>
      </c>
      <c r="AS476" s="1"/>
      <c r="AT476" s="1"/>
      <c r="AU476" s="1"/>
      <c r="AV476" s="1"/>
      <c r="AW476" s="1"/>
      <c r="AX476" s="1"/>
      <c r="AY476" s="1"/>
      <c r="AZ476" s="1" t="s">
        <v>3</v>
      </c>
      <c r="BA476" s="1"/>
      <c r="BB476" s="1" t="s">
        <v>3</v>
      </c>
      <c r="BC476" s="1" t="s">
        <v>3</v>
      </c>
      <c r="BD476" s="1" t="s">
        <v>3</v>
      </c>
      <c r="BE476" s="1" t="s">
        <v>3</v>
      </c>
      <c r="BF476" s="1" t="s">
        <v>3</v>
      </c>
      <c r="BG476" s="1" t="s">
        <v>3</v>
      </c>
      <c r="BH476" s="1" t="s">
        <v>3</v>
      </c>
      <c r="BI476" s="1" t="s">
        <v>3</v>
      </c>
      <c r="BJ476" s="1" t="s">
        <v>3</v>
      </c>
      <c r="BK476" s="1" t="s">
        <v>3</v>
      </c>
      <c r="BL476" s="1" t="s">
        <v>3</v>
      </c>
      <c r="BM476" s="1" t="s">
        <v>3</v>
      </c>
      <c r="BN476" s="1" t="s">
        <v>3</v>
      </c>
      <c r="BO476" s="1" t="s">
        <v>3</v>
      </c>
      <c r="BP476" s="1" t="s">
        <v>3</v>
      </c>
      <c r="BQ476" s="1"/>
      <c r="BR476" s="1"/>
      <c r="BS476" s="1"/>
      <c r="BT476" s="1"/>
      <c r="BU476" s="1"/>
      <c r="BV476" s="1"/>
      <c r="BW476" s="1"/>
      <c r="BX476" s="1">
        <v>0</v>
      </c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>
        <v>0</v>
      </c>
    </row>
    <row r="478" spans="1:245" x14ac:dyDescent="0.2">
      <c r="A478" s="2">
        <v>52</v>
      </c>
      <c r="B478" s="2">
        <f t="shared" ref="B478:G478" si="347">B495</f>
        <v>1</v>
      </c>
      <c r="C478" s="2">
        <f t="shared" si="347"/>
        <v>4</v>
      </c>
      <c r="D478" s="2">
        <f t="shared" si="347"/>
        <v>476</v>
      </c>
      <c r="E478" s="2">
        <f t="shared" si="347"/>
        <v>0</v>
      </c>
      <c r="F478" s="2" t="str">
        <f t="shared" si="347"/>
        <v>Новый раздел</v>
      </c>
      <c r="G478" s="2" t="str">
        <f t="shared" si="347"/>
        <v>Туалет</v>
      </c>
      <c r="H478" s="2"/>
      <c r="I478" s="2"/>
      <c r="J478" s="2"/>
      <c r="K478" s="2"/>
      <c r="L478" s="2"/>
      <c r="M478" s="2"/>
      <c r="N478" s="2"/>
      <c r="O478" s="2">
        <f t="shared" ref="O478:AT478" si="348">O495</f>
        <v>52744.36</v>
      </c>
      <c r="P478" s="2">
        <f t="shared" si="348"/>
        <v>41959.01</v>
      </c>
      <c r="Q478" s="2">
        <f t="shared" si="348"/>
        <v>1840.27</v>
      </c>
      <c r="R478" s="2">
        <f t="shared" si="348"/>
        <v>277</v>
      </c>
      <c r="S478" s="2">
        <f t="shared" si="348"/>
        <v>8945.08</v>
      </c>
      <c r="T478" s="2">
        <f t="shared" si="348"/>
        <v>0</v>
      </c>
      <c r="U478" s="2">
        <f t="shared" si="348"/>
        <v>31.251749000000004</v>
      </c>
      <c r="V478" s="2">
        <f t="shared" si="348"/>
        <v>0.683674</v>
      </c>
      <c r="W478" s="2">
        <f t="shared" si="348"/>
        <v>0</v>
      </c>
      <c r="X478" s="2">
        <f t="shared" si="348"/>
        <v>10088.030000000001</v>
      </c>
      <c r="Y478" s="2">
        <f t="shared" si="348"/>
        <v>5362.92</v>
      </c>
      <c r="Z478" s="2">
        <f t="shared" si="348"/>
        <v>0</v>
      </c>
      <c r="AA478" s="2">
        <f t="shared" si="348"/>
        <v>0</v>
      </c>
      <c r="AB478" s="2">
        <f t="shared" si="348"/>
        <v>52744.36</v>
      </c>
      <c r="AC478" s="2">
        <f t="shared" si="348"/>
        <v>41959.01</v>
      </c>
      <c r="AD478" s="2">
        <f t="shared" si="348"/>
        <v>1840.27</v>
      </c>
      <c r="AE478" s="2">
        <f t="shared" si="348"/>
        <v>277</v>
      </c>
      <c r="AF478" s="2">
        <f t="shared" si="348"/>
        <v>8945.08</v>
      </c>
      <c r="AG478" s="2">
        <f t="shared" si="348"/>
        <v>0</v>
      </c>
      <c r="AH478" s="2">
        <f t="shared" si="348"/>
        <v>31.251749000000004</v>
      </c>
      <c r="AI478" s="2">
        <f t="shared" si="348"/>
        <v>0.683674</v>
      </c>
      <c r="AJ478" s="2">
        <f t="shared" si="348"/>
        <v>0</v>
      </c>
      <c r="AK478" s="2">
        <f t="shared" si="348"/>
        <v>10088.030000000001</v>
      </c>
      <c r="AL478" s="2">
        <f t="shared" si="348"/>
        <v>5362.92</v>
      </c>
      <c r="AM478" s="2">
        <f t="shared" si="348"/>
        <v>0</v>
      </c>
      <c r="AN478" s="2">
        <f t="shared" si="348"/>
        <v>0</v>
      </c>
      <c r="AO478" s="2">
        <f t="shared" si="348"/>
        <v>0</v>
      </c>
      <c r="AP478" s="2">
        <f t="shared" si="348"/>
        <v>0</v>
      </c>
      <c r="AQ478" s="2">
        <f t="shared" si="348"/>
        <v>0</v>
      </c>
      <c r="AR478" s="2">
        <f t="shared" si="348"/>
        <v>68195.31</v>
      </c>
      <c r="AS478" s="2">
        <f t="shared" si="348"/>
        <v>68195.31</v>
      </c>
      <c r="AT478" s="2">
        <f t="shared" si="348"/>
        <v>0</v>
      </c>
      <c r="AU478" s="2">
        <f t="shared" ref="AU478:BZ478" si="349">AU495</f>
        <v>0</v>
      </c>
      <c r="AV478" s="2">
        <f t="shared" si="349"/>
        <v>41959.01</v>
      </c>
      <c r="AW478" s="2">
        <f t="shared" si="349"/>
        <v>41959.01</v>
      </c>
      <c r="AX478" s="2">
        <f t="shared" si="349"/>
        <v>0</v>
      </c>
      <c r="AY478" s="2">
        <f t="shared" si="349"/>
        <v>41959.01</v>
      </c>
      <c r="AZ478" s="2">
        <f t="shared" si="349"/>
        <v>0</v>
      </c>
      <c r="BA478" s="2">
        <f t="shared" si="349"/>
        <v>0</v>
      </c>
      <c r="BB478" s="2">
        <f t="shared" si="349"/>
        <v>0</v>
      </c>
      <c r="BC478" s="2">
        <f t="shared" si="349"/>
        <v>0</v>
      </c>
      <c r="BD478" s="2">
        <f t="shared" si="349"/>
        <v>0</v>
      </c>
      <c r="BE478" s="2">
        <f t="shared" si="349"/>
        <v>0</v>
      </c>
      <c r="BF478" s="2">
        <f t="shared" si="349"/>
        <v>0</v>
      </c>
      <c r="BG478" s="2">
        <f t="shared" si="349"/>
        <v>0</v>
      </c>
      <c r="BH478" s="2">
        <f t="shared" si="349"/>
        <v>0</v>
      </c>
      <c r="BI478" s="2">
        <f t="shared" si="349"/>
        <v>0</v>
      </c>
      <c r="BJ478" s="2">
        <f t="shared" si="349"/>
        <v>0</v>
      </c>
      <c r="BK478" s="2">
        <f t="shared" si="349"/>
        <v>0</v>
      </c>
      <c r="BL478" s="2">
        <f t="shared" si="349"/>
        <v>0</v>
      </c>
      <c r="BM478" s="2">
        <f t="shared" si="349"/>
        <v>0</v>
      </c>
      <c r="BN478" s="2">
        <f t="shared" si="349"/>
        <v>0</v>
      </c>
      <c r="BO478" s="2">
        <f t="shared" si="349"/>
        <v>0</v>
      </c>
      <c r="BP478" s="2">
        <f t="shared" si="349"/>
        <v>0</v>
      </c>
      <c r="BQ478" s="2">
        <f t="shared" si="349"/>
        <v>0</v>
      </c>
      <c r="BR478" s="2">
        <f t="shared" si="349"/>
        <v>0</v>
      </c>
      <c r="BS478" s="2">
        <f t="shared" si="349"/>
        <v>0</v>
      </c>
      <c r="BT478" s="2">
        <f t="shared" si="349"/>
        <v>0</v>
      </c>
      <c r="BU478" s="2">
        <f t="shared" si="349"/>
        <v>0</v>
      </c>
      <c r="BV478" s="2">
        <f t="shared" si="349"/>
        <v>0</v>
      </c>
      <c r="BW478" s="2">
        <f t="shared" si="349"/>
        <v>0</v>
      </c>
      <c r="BX478" s="2">
        <f t="shared" si="349"/>
        <v>0</v>
      </c>
      <c r="BY478" s="2">
        <f t="shared" si="349"/>
        <v>0</v>
      </c>
      <c r="BZ478" s="2">
        <f t="shared" si="349"/>
        <v>0</v>
      </c>
      <c r="CA478" s="2">
        <f t="shared" ref="CA478:DF478" si="350">CA495</f>
        <v>68195.31</v>
      </c>
      <c r="CB478" s="2">
        <f t="shared" si="350"/>
        <v>68195.31</v>
      </c>
      <c r="CC478" s="2">
        <f t="shared" si="350"/>
        <v>0</v>
      </c>
      <c r="CD478" s="2">
        <f t="shared" si="350"/>
        <v>0</v>
      </c>
      <c r="CE478" s="2">
        <f t="shared" si="350"/>
        <v>41959.01</v>
      </c>
      <c r="CF478" s="2">
        <f t="shared" si="350"/>
        <v>41959.01</v>
      </c>
      <c r="CG478" s="2">
        <f t="shared" si="350"/>
        <v>0</v>
      </c>
      <c r="CH478" s="2">
        <f t="shared" si="350"/>
        <v>41959.01</v>
      </c>
      <c r="CI478" s="2">
        <f t="shared" si="350"/>
        <v>0</v>
      </c>
      <c r="CJ478" s="2">
        <f t="shared" si="350"/>
        <v>0</v>
      </c>
      <c r="CK478" s="2">
        <f t="shared" si="350"/>
        <v>0</v>
      </c>
      <c r="CL478" s="2">
        <f t="shared" si="350"/>
        <v>0</v>
      </c>
      <c r="CM478" s="2">
        <f t="shared" si="350"/>
        <v>0</v>
      </c>
      <c r="CN478" s="2">
        <f t="shared" si="350"/>
        <v>0</v>
      </c>
      <c r="CO478" s="2">
        <f t="shared" si="350"/>
        <v>0</v>
      </c>
      <c r="CP478" s="2">
        <f t="shared" si="350"/>
        <v>0</v>
      </c>
      <c r="CQ478" s="2">
        <f t="shared" si="350"/>
        <v>0</v>
      </c>
      <c r="CR478" s="2">
        <f t="shared" si="350"/>
        <v>0</v>
      </c>
      <c r="CS478" s="2">
        <f t="shared" si="350"/>
        <v>0</v>
      </c>
      <c r="CT478" s="2">
        <f t="shared" si="350"/>
        <v>0</v>
      </c>
      <c r="CU478" s="2">
        <f t="shared" si="350"/>
        <v>0</v>
      </c>
      <c r="CV478" s="2">
        <f t="shared" si="350"/>
        <v>0</v>
      </c>
      <c r="CW478" s="2">
        <f t="shared" si="350"/>
        <v>0</v>
      </c>
      <c r="CX478" s="2">
        <f t="shared" si="350"/>
        <v>0</v>
      </c>
      <c r="CY478" s="2">
        <f t="shared" si="350"/>
        <v>0</v>
      </c>
      <c r="CZ478" s="2">
        <f t="shared" si="350"/>
        <v>0</v>
      </c>
      <c r="DA478" s="2">
        <f t="shared" si="350"/>
        <v>0</v>
      </c>
      <c r="DB478" s="2">
        <f t="shared" si="350"/>
        <v>0</v>
      </c>
      <c r="DC478" s="2">
        <f t="shared" si="350"/>
        <v>0</v>
      </c>
      <c r="DD478" s="2">
        <f t="shared" si="350"/>
        <v>0</v>
      </c>
      <c r="DE478" s="2">
        <f t="shared" si="350"/>
        <v>0</v>
      </c>
      <c r="DF478" s="2">
        <f t="shared" si="350"/>
        <v>0</v>
      </c>
      <c r="DG478" s="3">
        <f t="shared" ref="DG478:EL478" si="351">DG495</f>
        <v>0</v>
      </c>
      <c r="DH478" s="3">
        <f t="shared" si="351"/>
        <v>0</v>
      </c>
      <c r="DI478" s="3">
        <f t="shared" si="351"/>
        <v>0</v>
      </c>
      <c r="DJ478" s="3">
        <f t="shared" si="351"/>
        <v>0</v>
      </c>
      <c r="DK478" s="3">
        <f t="shared" si="351"/>
        <v>0</v>
      </c>
      <c r="DL478" s="3">
        <f t="shared" si="351"/>
        <v>0</v>
      </c>
      <c r="DM478" s="3">
        <f t="shared" si="351"/>
        <v>0</v>
      </c>
      <c r="DN478" s="3">
        <f t="shared" si="351"/>
        <v>0</v>
      </c>
      <c r="DO478" s="3">
        <f t="shared" si="351"/>
        <v>0</v>
      </c>
      <c r="DP478" s="3">
        <f t="shared" si="351"/>
        <v>0</v>
      </c>
      <c r="DQ478" s="3">
        <f t="shared" si="351"/>
        <v>0</v>
      </c>
      <c r="DR478" s="3">
        <f t="shared" si="351"/>
        <v>0</v>
      </c>
      <c r="DS478" s="3">
        <f t="shared" si="351"/>
        <v>0</v>
      </c>
      <c r="DT478" s="3">
        <f t="shared" si="351"/>
        <v>0</v>
      </c>
      <c r="DU478" s="3">
        <f t="shared" si="351"/>
        <v>0</v>
      </c>
      <c r="DV478" s="3">
        <f t="shared" si="351"/>
        <v>0</v>
      </c>
      <c r="DW478" s="3">
        <f t="shared" si="351"/>
        <v>0</v>
      </c>
      <c r="DX478" s="3">
        <f t="shared" si="351"/>
        <v>0</v>
      </c>
      <c r="DY478" s="3">
        <f t="shared" si="351"/>
        <v>0</v>
      </c>
      <c r="DZ478" s="3">
        <f t="shared" si="351"/>
        <v>0</v>
      </c>
      <c r="EA478" s="3">
        <f t="shared" si="351"/>
        <v>0</v>
      </c>
      <c r="EB478" s="3">
        <f t="shared" si="351"/>
        <v>0</v>
      </c>
      <c r="EC478" s="3">
        <f t="shared" si="351"/>
        <v>0</v>
      </c>
      <c r="ED478" s="3">
        <f t="shared" si="351"/>
        <v>0</v>
      </c>
      <c r="EE478" s="3">
        <f t="shared" si="351"/>
        <v>0</v>
      </c>
      <c r="EF478" s="3">
        <f t="shared" si="351"/>
        <v>0</v>
      </c>
      <c r="EG478" s="3">
        <f t="shared" si="351"/>
        <v>0</v>
      </c>
      <c r="EH478" s="3">
        <f t="shared" si="351"/>
        <v>0</v>
      </c>
      <c r="EI478" s="3">
        <f t="shared" si="351"/>
        <v>0</v>
      </c>
      <c r="EJ478" s="3">
        <f t="shared" si="351"/>
        <v>0</v>
      </c>
      <c r="EK478" s="3">
        <f t="shared" si="351"/>
        <v>0</v>
      </c>
      <c r="EL478" s="3">
        <f t="shared" si="351"/>
        <v>0</v>
      </c>
      <c r="EM478" s="3">
        <f t="shared" ref="EM478:FR478" si="352">EM495</f>
        <v>0</v>
      </c>
      <c r="EN478" s="3">
        <f t="shared" si="352"/>
        <v>0</v>
      </c>
      <c r="EO478" s="3">
        <f t="shared" si="352"/>
        <v>0</v>
      </c>
      <c r="EP478" s="3">
        <f t="shared" si="352"/>
        <v>0</v>
      </c>
      <c r="EQ478" s="3">
        <f t="shared" si="352"/>
        <v>0</v>
      </c>
      <c r="ER478" s="3">
        <f t="shared" si="352"/>
        <v>0</v>
      </c>
      <c r="ES478" s="3">
        <f t="shared" si="352"/>
        <v>0</v>
      </c>
      <c r="ET478" s="3">
        <f t="shared" si="352"/>
        <v>0</v>
      </c>
      <c r="EU478" s="3">
        <f t="shared" si="352"/>
        <v>0</v>
      </c>
      <c r="EV478" s="3">
        <f t="shared" si="352"/>
        <v>0</v>
      </c>
      <c r="EW478" s="3">
        <f t="shared" si="352"/>
        <v>0</v>
      </c>
      <c r="EX478" s="3">
        <f t="shared" si="352"/>
        <v>0</v>
      </c>
      <c r="EY478" s="3">
        <f t="shared" si="352"/>
        <v>0</v>
      </c>
      <c r="EZ478" s="3">
        <f t="shared" si="352"/>
        <v>0</v>
      </c>
      <c r="FA478" s="3">
        <f t="shared" si="352"/>
        <v>0</v>
      </c>
      <c r="FB478" s="3">
        <f t="shared" si="352"/>
        <v>0</v>
      </c>
      <c r="FC478" s="3">
        <f t="shared" si="352"/>
        <v>0</v>
      </c>
      <c r="FD478" s="3">
        <f t="shared" si="352"/>
        <v>0</v>
      </c>
      <c r="FE478" s="3">
        <f t="shared" si="352"/>
        <v>0</v>
      </c>
      <c r="FF478" s="3">
        <f t="shared" si="352"/>
        <v>0</v>
      </c>
      <c r="FG478" s="3">
        <f t="shared" si="352"/>
        <v>0</v>
      </c>
      <c r="FH478" s="3">
        <f t="shared" si="352"/>
        <v>0</v>
      </c>
      <c r="FI478" s="3">
        <f t="shared" si="352"/>
        <v>0</v>
      </c>
      <c r="FJ478" s="3">
        <f t="shared" si="352"/>
        <v>0</v>
      </c>
      <c r="FK478" s="3">
        <f t="shared" si="352"/>
        <v>0</v>
      </c>
      <c r="FL478" s="3">
        <f t="shared" si="352"/>
        <v>0</v>
      </c>
      <c r="FM478" s="3">
        <f t="shared" si="352"/>
        <v>0</v>
      </c>
      <c r="FN478" s="3">
        <f t="shared" si="352"/>
        <v>0</v>
      </c>
      <c r="FO478" s="3">
        <f t="shared" si="352"/>
        <v>0</v>
      </c>
      <c r="FP478" s="3">
        <f t="shared" si="352"/>
        <v>0</v>
      </c>
      <c r="FQ478" s="3">
        <f t="shared" si="352"/>
        <v>0</v>
      </c>
      <c r="FR478" s="3">
        <f t="shared" si="352"/>
        <v>0</v>
      </c>
      <c r="FS478" s="3">
        <f t="shared" ref="FS478:GX478" si="353">FS495</f>
        <v>0</v>
      </c>
      <c r="FT478" s="3">
        <f t="shared" si="353"/>
        <v>0</v>
      </c>
      <c r="FU478" s="3">
        <f t="shared" si="353"/>
        <v>0</v>
      </c>
      <c r="FV478" s="3">
        <f t="shared" si="353"/>
        <v>0</v>
      </c>
      <c r="FW478" s="3">
        <f t="shared" si="353"/>
        <v>0</v>
      </c>
      <c r="FX478" s="3">
        <f t="shared" si="353"/>
        <v>0</v>
      </c>
      <c r="FY478" s="3">
        <f t="shared" si="353"/>
        <v>0</v>
      </c>
      <c r="FZ478" s="3">
        <f t="shared" si="353"/>
        <v>0</v>
      </c>
      <c r="GA478" s="3">
        <f t="shared" si="353"/>
        <v>0</v>
      </c>
      <c r="GB478" s="3">
        <f t="shared" si="353"/>
        <v>0</v>
      </c>
      <c r="GC478" s="3">
        <f t="shared" si="353"/>
        <v>0</v>
      </c>
      <c r="GD478" s="3">
        <f t="shared" si="353"/>
        <v>0</v>
      </c>
      <c r="GE478" s="3">
        <f t="shared" si="353"/>
        <v>0</v>
      </c>
      <c r="GF478" s="3">
        <f t="shared" si="353"/>
        <v>0</v>
      </c>
      <c r="GG478" s="3">
        <f t="shared" si="353"/>
        <v>0</v>
      </c>
      <c r="GH478" s="3">
        <f t="shared" si="353"/>
        <v>0</v>
      </c>
      <c r="GI478" s="3">
        <f t="shared" si="353"/>
        <v>0</v>
      </c>
      <c r="GJ478" s="3">
        <f t="shared" si="353"/>
        <v>0</v>
      </c>
      <c r="GK478" s="3">
        <f t="shared" si="353"/>
        <v>0</v>
      </c>
      <c r="GL478" s="3">
        <f t="shared" si="353"/>
        <v>0</v>
      </c>
      <c r="GM478" s="3">
        <f t="shared" si="353"/>
        <v>0</v>
      </c>
      <c r="GN478" s="3">
        <f t="shared" si="353"/>
        <v>0</v>
      </c>
      <c r="GO478" s="3">
        <f t="shared" si="353"/>
        <v>0</v>
      </c>
      <c r="GP478" s="3">
        <f t="shared" si="353"/>
        <v>0</v>
      </c>
      <c r="GQ478" s="3">
        <f t="shared" si="353"/>
        <v>0</v>
      </c>
      <c r="GR478" s="3">
        <f t="shared" si="353"/>
        <v>0</v>
      </c>
      <c r="GS478" s="3">
        <f t="shared" si="353"/>
        <v>0</v>
      </c>
      <c r="GT478" s="3">
        <f t="shared" si="353"/>
        <v>0</v>
      </c>
      <c r="GU478" s="3">
        <f t="shared" si="353"/>
        <v>0</v>
      </c>
      <c r="GV478" s="3">
        <f t="shared" si="353"/>
        <v>0</v>
      </c>
      <c r="GW478" s="3">
        <f t="shared" si="353"/>
        <v>0</v>
      </c>
      <c r="GX478" s="3">
        <f t="shared" si="353"/>
        <v>0</v>
      </c>
    </row>
    <row r="480" spans="1:245" x14ac:dyDescent="0.2">
      <c r="A480">
        <v>17</v>
      </c>
      <c r="B480">
        <v>1</v>
      </c>
      <c r="C480">
        <f>ROW(SmtRes!A440)</f>
        <v>440</v>
      </c>
      <c r="D480">
        <f>ROW(EtalonRes!A440)</f>
        <v>440</v>
      </c>
      <c r="E480" t="s">
        <v>550</v>
      </c>
      <c r="F480" t="s">
        <v>551</v>
      </c>
      <c r="G480" t="s">
        <v>552</v>
      </c>
      <c r="H480" t="s">
        <v>503</v>
      </c>
      <c r="I480">
        <f>ROUND(3.4/1000,9)</f>
        <v>3.3999999999999998E-3</v>
      </c>
      <c r="J480">
        <v>0</v>
      </c>
      <c r="K480">
        <f>ROUND(3.4/1000,9)</f>
        <v>3.3999999999999998E-3</v>
      </c>
      <c r="O480">
        <f t="shared" ref="O480:O493" si="354">ROUND(CP480,2)</f>
        <v>290.20999999999998</v>
      </c>
      <c r="P480">
        <f t="shared" ref="P480:P493" si="355">ROUND(CQ480*I480,2)</f>
        <v>0</v>
      </c>
      <c r="Q480">
        <f t="shared" ref="Q480:Q493" si="356">ROUND(CR480*I480,2)</f>
        <v>278.97000000000003</v>
      </c>
      <c r="R480">
        <f t="shared" ref="R480:R493" si="357">ROUND(CS480*I480,2)</f>
        <v>72.930000000000007</v>
      </c>
      <c r="S480">
        <f t="shared" ref="S480:S493" si="358">ROUND(CT480*I480,2)</f>
        <v>11.24</v>
      </c>
      <c r="T480">
        <f t="shared" ref="T480:T493" si="359">ROUND(CU480*I480,2)</f>
        <v>0</v>
      </c>
      <c r="U480">
        <f t="shared" ref="U480:U493" si="360">CV480*I480</f>
        <v>4.3723999999999999E-2</v>
      </c>
      <c r="V480">
        <f t="shared" ref="V480:V493" si="361">CW480*I480</f>
        <v>0.19978399999999999</v>
      </c>
      <c r="W480">
        <f t="shared" ref="W480:W493" si="362">ROUND(CX480*I480,2)</f>
        <v>0</v>
      </c>
      <c r="X480">
        <f t="shared" ref="X480:X493" si="363">ROUND(CY480,2)</f>
        <v>77.44</v>
      </c>
      <c r="Y480">
        <f t="shared" ref="Y480:Y493" si="364">ROUND(CZ480,2)</f>
        <v>38.72</v>
      </c>
      <c r="AA480">
        <v>94798619</v>
      </c>
      <c r="AB480">
        <f t="shared" ref="AB480:AB493" si="365">ROUND((AC480+AD480+AF480),2)</f>
        <v>4441.99</v>
      </c>
      <c r="AC480">
        <f t="shared" ref="AC480:AC493" si="366">ROUND((ES480),2)</f>
        <v>0</v>
      </c>
      <c r="AD480">
        <f t="shared" ref="AD480:AD493" si="367">ROUND((((ET480)-(EU480))+AE480),2)</f>
        <v>4348.24</v>
      </c>
      <c r="AE480">
        <f t="shared" ref="AE480:AE493" si="368">ROUND((EU480),2)</f>
        <v>608.16999999999996</v>
      </c>
      <c r="AF480">
        <f t="shared" ref="AF480:AF493" si="369">ROUND((EV480),2)</f>
        <v>93.75</v>
      </c>
      <c r="AG480">
        <f t="shared" ref="AG480:AG493" si="370">ROUND((AP480),2)</f>
        <v>0</v>
      </c>
      <c r="AH480">
        <f t="shared" ref="AH480:AH493" si="371">(EW480)</f>
        <v>12.86</v>
      </c>
      <c r="AI480">
        <f t="shared" ref="AI480:AI493" si="372">(EX480)</f>
        <v>58.76</v>
      </c>
      <c r="AJ480">
        <f t="shared" ref="AJ480:AJ493" si="373">(AS480)</f>
        <v>0</v>
      </c>
      <c r="AK480">
        <v>4441.99</v>
      </c>
      <c r="AL480">
        <v>0</v>
      </c>
      <c r="AM480">
        <v>4348.24</v>
      </c>
      <c r="AN480">
        <v>608.16999999999996</v>
      </c>
      <c r="AO480">
        <v>93.75</v>
      </c>
      <c r="AP480">
        <v>0</v>
      </c>
      <c r="AQ480">
        <v>12.86</v>
      </c>
      <c r="AR480">
        <v>58.76</v>
      </c>
      <c r="AS480">
        <v>0</v>
      </c>
      <c r="AT480">
        <v>92</v>
      </c>
      <c r="AU480">
        <v>46</v>
      </c>
      <c r="AV480">
        <v>1</v>
      </c>
      <c r="AW480">
        <v>1</v>
      </c>
      <c r="AZ480">
        <v>1</v>
      </c>
      <c r="BA480">
        <v>35.270000000000003</v>
      </c>
      <c r="BB480">
        <v>18.87</v>
      </c>
      <c r="BC480">
        <v>1</v>
      </c>
      <c r="BD480" t="s">
        <v>3</v>
      </c>
      <c r="BE480" t="s">
        <v>3</v>
      </c>
      <c r="BF480" t="s">
        <v>3</v>
      </c>
      <c r="BG480" t="s">
        <v>3</v>
      </c>
      <c r="BH480">
        <v>0</v>
      </c>
      <c r="BI480">
        <v>1</v>
      </c>
      <c r="BJ480" t="s">
        <v>553</v>
      </c>
      <c r="BM480">
        <v>1001</v>
      </c>
      <c r="BN480">
        <v>0</v>
      </c>
      <c r="BO480" t="s">
        <v>551</v>
      </c>
      <c r="BP480">
        <v>1</v>
      </c>
      <c r="BQ480">
        <v>2</v>
      </c>
      <c r="BR480">
        <v>0</v>
      </c>
      <c r="BS480">
        <v>35.270000000000003</v>
      </c>
      <c r="BT480">
        <v>1</v>
      </c>
      <c r="BU480">
        <v>1</v>
      </c>
      <c r="BV480">
        <v>1</v>
      </c>
      <c r="BW480">
        <v>1</v>
      </c>
      <c r="BX480">
        <v>1</v>
      </c>
      <c r="BY480" t="s">
        <v>3</v>
      </c>
      <c r="BZ480">
        <v>92</v>
      </c>
      <c r="CA480">
        <v>46</v>
      </c>
      <c r="CB480" t="s">
        <v>3</v>
      </c>
      <c r="CE480">
        <v>0</v>
      </c>
      <c r="CF480">
        <v>0</v>
      </c>
      <c r="CG480">
        <v>0</v>
      </c>
      <c r="CM480">
        <v>0</v>
      </c>
      <c r="CN480" t="s">
        <v>3</v>
      </c>
      <c r="CO480">
        <v>0</v>
      </c>
      <c r="CP480">
        <f t="shared" ref="CP480:CP493" si="374">(P480+Q480+S480)</f>
        <v>290.21000000000004</v>
      </c>
      <c r="CQ480">
        <f t="shared" ref="CQ480:CQ493" si="375">AC480*BC480</f>
        <v>0</v>
      </c>
      <c r="CR480">
        <f t="shared" ref="CR480:CR493" si="376">(((ET480)*BB480-(EU480)*BS480)+AE480*BS480)</f>
        <v>82051.288799999995</v>
      </c>
      <c r="CS480">
        <f t="shared" ref="CS480:CS493" si="377">AE480*BS480</f>
        <v>21450.155900000002</v>
      </c>
      <c r="CT480">
        <f t="shared" ref="CT480:CT493" si="378">AF480*BA480</f>
        <v>3306.5625000000005</v>
      </c>
      <c r="CU480">
        <f t="shared" ref="CU480:CU493" si="379">AG480</f>
        <v>0</v>
      </c>
      <c r="CV480">
        <f t="shared" ref="CV480:CV493" si="380">AH480</f>
        <v>12.86</v>
      </c>
      <c r="CW480">
        <f t="shared" ref="CW480:CW493" si="381">AI480</f>
        <v>58.76</v>
      </c>
      <c r="CX480">
        <f t="shared" ref="CX480:CX493" si="382">AJ480</f>
        <v>0</v>
      </c>
      <c r="CY480">
        <f>(((S480+R480)*AT480)/100)</f>
        <v>77.436400000000006</v>
      </c>
      <c r="CZ480">
        <f>(((S480+R480)*AU480)/100)</f>
        <v>38.718200000000003</v>
      </c>
      <c r="DC480" t="s">
        <v>3</v>
      </c>
      <c r="DD480" t="s">
        <v>3</v>
      </c>
      <c r="DE480" t="s">
        <v>3</v>
      </c>
      <c r="DF480" t="s">
        <v>3</v>
      </c>
      <c r="DG480" t="s">
        <v>3</v>
      </c>
      <c r="DH480" t="s">
        <v>3</v>
      </c>
      <c r="DI480" t="s">
        <v>3</v>
      </c>
      <c r="DJ480" t="s">
        <v>3</v>
      </c>
      <c r="DK480" t="s">
        <v>3</v>
      </c>
      <c r="DL480" t="s">
        <v>3</v>
      </c>
      <c r="DM480" t="s">
        <v>3</v>
      </c>
      <c r="DN480">
        <v>0</v>
      </c>
      <c r="DO480">
        <v>0</v>
      </c>
      <c r="DP480">
        <v>1</v>
      </c>
      <c r="DQ480">
        <v>1</v>
      </c>
      <c r="DU480">
        <v>1007</v>
      </c>
      <c r="DV480" t="s">
        <v>503</v>
      </c>
      <c r="DW480" t="s">
        <v>503</v>
      </c>
      <c r="DX480">
        <v>1000</v>
      </c>
      <c r="DZ480" t="s">
        <v>3</v>
      </c>
      <c r="EA480" t="s">
        <v>3</v>
      </c>
      <c r="EB480" t="s">
        <v>3</v>
      </c>
      <c r="EC480" t="s">
        <v>3</v>
      </c>
      <c r="EE480">
        <v>92109373</v>
      </c>
      <c r="EF480">
        <v>2</v>
      </c>
      <c r="EG480" t="s">
        <v>21</v>
      </c>
      <c r="EH480">
        <v>1</v>
      </c>
      <c r="EI480" t="s">
        <v>22</v>
      </c>
      <c r="EJ480">
        <v>1</v>
      </c>
      <c r="EK480">
        <v>1001</v>
      </c>
      <c r="EL480" t="s">
        <v>505</v>
      </c>
      <c r="EM480" t="s">
        <v>24</v>
      </c>
      <c r="EO480" t="s">
        <v>3</v>
      </c>
      <c r="EQ480">
        <v>0</v>
      </c>
      <c r="ER480">
        <v>4441.99</v>
      </c>
      <c r="ES480">
        <v>0</v>
      </c>
      <c r="ET480">
        <v>4348.24</v>
      </c>
      <c r="EU480">
        <v>608.16999999999996</v>
      </c>
      <c r="EV480">
        <v>93.75</v>
      </c>
      <c r="EW480">
        <v>12.86</v>
      </c>
      <c r="EX480">
        <v>58.76</v>
      </c>
      <c r="EY480">
        <v>0</v>
      </c>
      <c r="FQ480">
        <v>0</v>
      </c>
      <c r="FR480">
        <f t="shared" ref="FR480:FR493" si="383">ROUND(IF(BI480=3,GM480,0),2)</f>
        <v>0</v>
      </c>
      <c r="FS480">
        <v>0</v>
      </c>
      <c r="FX480">
        <v>92</v>
      </c>
      <c r="FY480">
        <v>46</v>
      </c>
      <c r="GA480" t="s">
        <v>3</v>
      </c>
      <c r="GD480">
        <v>1</v>
      </c>
      <c r="GF480">
        <v>-1969748210</v>
      </c>
      <c r="GG480">
        <v>2</v>
      </c>
      <c r="GH480">
        <v>1</v>
      </c>
      <c r="GI480">
        <v>2</v>
      </c>
      <c r="GJ480">
        <v>0</v>
      </c>
      <c r="GK480">
        <v>0</v>
      </c>
      <c r="GL480">
        <f t="shared" ref="GL480:GL493" si="384">ROUND(IF(AND(BH480=3,BI480=3,FS480&lt;&gt;0),P480,0),2)</f>
        <v>0</v>
      </c>
      <c r="GM480">
        <f t="shared" ref="GM480:GM493" si="385">ROUND(O480+X480+Y480,2)+GX480</f>
        <v>406.37</v>
      </c>
      <c r="GN480">
        <f t="shared" ref="GN480:GN493" si="386">IF(OR(BI480=0,BI480=1),GM480-GX480,0)</f>
        <v>406.37</v>
      </c>
      <c r="GO480">
        <f t="shared" ref="GO480:GO493" si="387">IF(BI480=2,GM480-GX480,0)</f>
        <v>0</v>
      </c>
      <c r="GP480">
        <f t="shared" ref="GP480:GP493" si="388">IF(BI480=4,GM480-GX480,0)</f>
        <v>0</v>
      </c>
      <c r="GR480">
        <v>0</v>
      </c>
      <c r="GS480">
        <v>3</v>
      </c>
      <c r="GT480">
        <v>0</v>
      </c>
      <c r="GU480" t="s">
        <v>3</v>
      </c>
      <c r="GV480">
        <f t="shared" ref="GV480:GV493" si="389">ROUND((GT480),2)</f>
        <v>0</v>
      </c>
      <c r="GW480">
        <v>1</v>
      </c>
      <c r="GX480">
        <f t="shared" ref="GX480:GX493" si="390">ROUND(HC480*I480,2)</f>
        <v>0</v>
      </c>
      <c r="HA480">
        <v>0</v>
      </c>
      <c r="HB480">
        <v>0</v>
      </c>
      <c r="HC480">
        <f t="shared" ref="HC480:HC493" si="391">GV480*GW480</f>
        <v>0</v>
      </c>
      <c r="HE480" t="s">
        <v>3</v>
      </c>
      <c r="HF480" t="s">
        <v>3</v>
      </c>
      <c r="HM480" t="s">
        <v>3</v>
      </c>
      <c r="HN480" t="s">
        <v>506</v>
      </c>
      <c r="HO480" t="s">
        <v>507</v>
      </c>
      <c r="HP480" t="s">
        <v>505</v>
      </c>
      <c r="HQ480" t="s">
        <v>505</v>
      </c>
      <c r="IK480">
        <v>0</v>
      </c>
    </row>
    <row r="481" spans="1:245" x14ac:dyDescent="0.2">
      <c r="A481">
        <v>17</v>
      </c>
      <c r="B481">
        <v>1</v>
      </c>
      <c r="C481">
        <f>ROW(SmtRes!A444)</f>
        <v>444</v>
      </c>
      <c r="D481">
        <f>ROW(EtalonRes!A444)</f>
        <v>444</v>
      </c>
      <c r="E481" t="s">
        <v>554</v>
      </c>
      <c r="F481" t="s">
        <v>555</v>
      </c>
      <c r="G481" t="s">
        <v>556</v>
      </c>
      <c r="H481" t="s">
        <v>557</v>
      </c>
      <c r="I481">
        <f>ROUND(0.34/10,9)</f>
        <v>3.4000000000000002E-2</v>
      </c>
      <c r="J481">
        <v>0</v>
      </c>
      <c r="K481">
        <f>ROUND(0.34/10,9)</f>
        <v>3.4000000000000002E-2</v>
      </c>
      <c r="O481">
        <f t="shared" si="354"/>
        <v>484.52</v>
      </c>
      <c r="P481">
        <f t="shared" si="355"/>
        <v>364.65</v>
      </c>
      <c r="Q481">
        <f t="shared" si="356"/>
        <v>26.54</v>
      </c>
      <c r="R481">
        <f t="shared" si="357"/>
        <v>3.78</v>
      </c>
      <c r="S481">
        <f t="shared" si="358"/>
        <v>93.33</v>
      </c>
      <c r="T481">
        <f t="shared" si="359"/>
        <v>0</v>
      </c>
      <c r="U481">
        <f t="shared" si="360"/>
        <v>0.3468</v>
      </c>
      <c r="V481">
        <f t="shared" si="361"/>
        <v>1.1900000000000001E-2</v>
      </c>
      <c r="W481">
        <f t="shared" si="362"/>
        <v>0</v>
      </c>
      <c r="X481">
        <f t="shared" si="363"/>
        <v>113.62</v>
      </c>
      <c r="Y481">
        <f t="shared" si="364"/>
        <v>71.86</v>
      </c>
      <c r="AA481">
        <v>94798619</v>
      </c>
      <c r="AB481">
        <f t="shared" si="365"/>
        <v>823.36</v>
      </c>
      <c r="AC481">
        <f t="shared" si="366"/>
        <v>715</v>
      </c>
      <c r="AD481">
        <f t="shared" si="367"/>
        <v>30.53</v>
      </c>
      <c r="AE481">
        <f t="shared" si="368"/>
        <v>3.15</v>
      </c>
      <c r="AF481">
        <f t="shared" si="369"/>
        <v>77.83</v>
      </c>
      <c r="AG481">
        <f t="shared" si="370"/>
        <v>0</v>
      </c>
      <c r="AH481">
        <f t="shared" si="371"/>
        <v>10.199999999999999</v>
      </c>
      <c r="AI481">
        <f t="shared" si="372"/>
        <v>0.35</v>
      </c>
      <c r="AJ481">
        <f t="shared" si="373"/>
        <v>0</v>
      </c>
      <c r="AK481">
        <v>823.36</v>
      </c>
      <c r="AL481">
        <v>715</v>
      </c>
      <c r="AM481">
        <v>30.53</v>
      </c>
      <c r="AN481">
        <v>3.15</v>
      </c>
      <c r="AO481">
        <v>77.83</v>
      </c>
      <c r="AP481">
        <v>0</v>
      </c>
      <c r="AQ481">
        <v>10.199999999999999</v>
      </c>
      <c r="AR481">
        <v>0.35</v>
      </c>
      <c r="AS481">
        <v>0</v>
      </c>
      <c r="AT481">
        <v>117</v>
      </c>
      <c r="AU481">
        <v>74</v>
      </c>
      <c r="AV481">
        <v>1</v>
      </c>
      <c r="AW481">
        <v>1</v>
      </c>
      <c r="AZ481">
        <v>1</v>
      </c>
      <c r="BA481">
        <v>35.270000000000003</v>
      </c>
      <c r="BB481">
        <v>25.57</v>
      </c>
      <c r="BC481">
        <v>15</v>
      </c>
      <c r="BD481" t="s">
        <v>3</v>
      </c>
      <c r="BE481" t="s">
        <v>3</v>
      </c>
      <c r="BF481" t="s">
        <v>3</v>
      </c>
      <c r="BG481" t="s">
        <v>3</v>
      </c>
      <c r="BH481">
        <v>0</v>
      </c>
      <c r="BI481">
        <v>1</v>
      </c>
      <c r="BJ481" t="s">
        <v>558</v>
      </c>
      <c r="BM481">
        <v>23001</v>
      </c>
      <c r="BN481">
        <v>0</v>
      </c>
      <c r="BO481" t="s">
        <v>555</v>
      </c>
      <c r="BP481">
        <v>1</v>
      </c>
      <c r="BQ481">
        <v>2</v>
      </c>
      <c r="BR481">
        <v>0</v>
      </c>
      <c r="BS481">
        <v>35.270000000000003</v>
      </c>
      <c r="BT481">
        <v>1</v>
      </c>
      <c r="BU481">
        <v>1</v>
      </c>
      <c r="BV481">
        <v>1</v>
      </c>
      <c r="BW481">
        <v>1</v>
      </c>
      <c r="BX481">
        <v>1</v>
      </c>
      <c r="BY481" t="s">
        <v>3</v>
      </c>
      <c r="BZ481">
        <v>117</v>
      </c>
      <c r="CA481">
        <v>74</v>
      </c>
      <c r="CB481" t="s">
        <v>3</v>
      </c>
      <c r="CE481">
        <v>0</v>
      </c>
      <c r="CF481">
        <v>0</v>
      </c>
      <c r="CG481">
        <v>0</v>
      </c>
      <c r="CM481">
        <v>0</v>
      </c>
      <c r="CN481" t="s">
        <v>3</v>
      </c>
      <c r="CO481">
        <v>0</v>
      </c>
      <c r="CP481">
        <f t="shared" si="374"/>
        <v>484.52</v>
      </c>
      <c r="CQ481">
        <f t="shared" si="375"/>
        <v>10725</v>
      </c>
      <c r="CR481">
        <f t="shared" si="376"/>
        <v>780.65210000000002</v>
      </c>
      <c r="CS481">
        <f t="shared" si="377"/>
        <v>111.10050000000001</v>
      </c>
      <c r="CT481">
        <f t="shared" si="378"/>
        <v>2745.0641000000001</v>
      </c>
      <c r="CU481">
        <f t="shared" si="379"/>
        <v>0</v>
      </c>
      <c r="CV481">
        <f t="shared" si="380"/>
        <v>10.199999999999999</v>
      </c>
      <c r="CW481">
        <f t="shared" si="381"/>
        <v>0.35</v>
      </c>
      <c r="CX481">
        <f t="shared" si="382"/>
        <v>0</v>
      </c>
      <c r="CY481">
        <f>(((S481+R481)*AT481)/100)</f>
        <v>113.6187</v>
      </c>
      <c r="CZ481">
        <f>(((S481+R481)*AU481)/100)</f>
        <v>71.861400000000003</v>
      </c>
      <c r="DC481" t="s">
        <v>3</v>
      </c>
      <c r="DD481" t="s">
        <v>3</v>
      </c>
      <c r="DE481" t="s">
        <v>3</v>
      </c>
      <c r="DF481" t="s">
        <v>3</v>
      </c>
      <c r="DG481" t="s">
        <v>3</v>
      </c>
      <c r="DH481" t="s">
        <v>3</v>
      </c>
      <c r="DI481" t="s">
        <v>3</v>
      </c>
      <c r="DJ481" t="s">
        <v>3</v>
      </c>
      <c r="DK481" t="s">
        <v>3</v>
      </c>
      <c r="DL481" t="s">
        <v>3</v>
      </c>
      <c r="DM481" t="s">
        <v>3</v>
      </c>
      <c r="DN481">
        <v>0</v>
      </c>
      <c r="DO481">
        <v>0</v>
      </c>
      <c r="DP481">
        <v>1</v>
      </c>
      <c r="DQ481">
        <v>1</v>
      </c>
      <c r="DU481">
        <v>1013</v>
      </c>
      <c r="DV481" t="s">
        <v>557</v>
      </c>
      <c r="DW481" t="s">
        <v>557</v>
      </c>
      <c r="DX481">
        <v>1</v>
      </c>
      <c r="DZ481" t="s">
        <v>3</v>
      </c>
      <c r="EA481" t="s">
        <v>3</v>
      </c>
      <c r="EB481" t="s">
        <v>3</v>
      </c>
      <c r="EC481" t="s">
        <v>3</v>
      </c>
      <c r="EE481">
        <v>92109433</v>
      </c>
      <c r="EF481">
        <v>2</v>
      </c>
      <c r="EG481" t="s">
        <v>21</v>
      </c>
      <c r="EH481">
        <v>18</v>
      </c>
      <c r="EI481" t="s">
        <v>559</v>
      </c>
      <c r="EJ481">
        <v>1</v>
      </c>
      <c r="EK481">
        <v>23001</v>
      </c>
      <c r="EL481" t="s">
        <v>559</v>
      </c>
      <c r="EM481" t="s">
        <v>560</v>
      </c>
      <c r="EO481" t="s">
        <v>3</v>
      </c>
      <c r="EQ481">
        <v>0</v>
      </c>
      <c r="ER481">
        <v>823.36</v>
      </c>
      <c r="ES481">
        <v>715</v>
      </c>
      <c r="ET481">
        <v>30.53</v>
      </c>
      <c r="EU481">
        <v>3.15</v>
      </c>
      <c r="EV481">
        <v>77.83</v>
      </c>
      <c r="EW481">
        <v>10.199999999999999</v>
      </c>
      <c r="EX481">
        <v>0.35</v>
      </c>
      <c r="EY481">
        <v>0</v>
      </c>
      <c r="FQ481">
        <v>0</v>
      </c>
      <c r="FR481">
        <f t="shared" si="383"/>
        <v>0</v>
      </c>
      <c r="FS481">
        <v>0</v>
      </c>
      <c r="FX481">
        <v>117</v>
      </c>
      <c r="FY481">
        <v>74</v>
      </c>
      <c r="GA481" t="s">
        <v>3</v>
      </c>
      <c r="GD481">
        <v>1</v>
      </c>
      <c r="GF481">
        <v>618280458</v>
      </c>
      <c r="GG481">
        <v>2</v>
      </c>
      <c r="GH481">
        <v>1</v>
      </c>
      <c r="GI481">
        <v>2</v>
      </c>
      <c r="GJ481">
        <v>0</v>
      </c>
      <c r="GK481">
        <v>0</v>
      </c>
      <c r="GL481">
        <f t="shared" si="384"/>
        <v>0</v>
      </c>
      <c r="GM481">
        <f t="shared" si="385"/>
        <v>670</v>
      </c>
      <c r="GN481">
        <f t="shared" si="386"/>
        <v>670</v>
      </c>
      <c r="GO481">
        <f t="shared" si="387"/>
        <v>0</v>
      </c>
      <c r="GP481">
        <f t="shared" si="388"/>
        <v>0</v>
      </c>
      <c r="GR481">
        <v>0</v>
      </c>
      <c r="GS481">
        <v>3</v>
      </c>
      <c r="GT481">
        <v>0</v>
      </c>
      <c r="GU481" t="s">
        <v>3</v>
      </c>
      <c r="GV481">
        <f t="shared" si="389"/>
        <v>0</v>
      </c>
      <c r="GW481">
        <v>1</v>
      </c>
      <c r="GX481">
        <f t="shared" si="390"/>
        <v>0</v>
      </c>
      <c r="HA481">
        <v>0</v>
      </c>
      <c r="HB481">
        <v>0</v>
      </c>
      <c r="HC481">
        <f t="shared" si="391"/>
        <v>0</v>
      </c>
      <c r="HE481" t="s">
        <v>3</v>
      </c>
      <c r="HF481" t="s">
        <v>3</v>
      </c>
      <c r="HM481" t="s">
        <v>3</v>
      </c>
      <c r="HN481" t="s">
        <v>561</v>
      </c>
      <c r="HO481" t="s">
        <v>562</v>
      </c>
      <c r="HP481" t="s">
        <v>559</v>
      </c>
      <c r="HQ481" t="s">
        <v>559</v>
      </c>
      <c r="IK481">
        <v>0</v>
      </c>
    </row>
    <row r="482" spans="1:245" x14ac:dyDescent="0.2">
      <c r="A482">
        <v>18</v>
      </c>
      <c r="B482">
        <v>1</v>
      </c>
      <c r="C482">
        <v>444</v>
      </c>
      <c r="E482" t="s">
        <v>563</v>
      </c>
      <c r="F482" t="s">
        <v>564</v>
      </c>
      <c r="G482" t="s">
        <v>565</v>
      </c>
      <c r="H482" t="s">
        <v>52</v>
      </c>
      <c r="I482">
        <f>I481*J482</f>
        <v>-0.374</v>
      </c>
      <c r="J482">
        <v>-11</v>
      </c>
      <c r="K482">
        <v>-11</v>
      </c>
      <c r="O482">
        <f t="shared" si="354"/>
        <v>-364.65</v>
      </c>
      <c r="P482">
        <f t="shared" si="355"/>
        <v>-364.65</v>
      </c>
      <c r="Q482">
        <f t="shared" si="356"/>
        <v>0</v>
      </c>
      <c r="R482">
        <f t="shared" si="357"/>
        <v>0</v>
      </c>
      <c r="S482">
        <f t="shared" si="358"/>
        <v>0</v>
      </c>
      <c r="T482">
        <f t="shared" si="359"/>
        <v>0</v>
      </c>
      <c r="U482">
        <f t="shared" si="360"/>
        <v>0</v>
      </c>
      <c r="V482">
        <f t="shared" si="361"/>
        <v>0</v>
      </c>
      <c r="W482">
        <f t="shared" si="362"/>
        <v>0</v>
      </c>
      <c r="X482">
        <f t="shared" si="363"/>
        <v>0</v>
      </c>
      <c r="Y482">
        <f t="shared" si="364"/>
        <v>0</v>
      </c>
      <c r="AA482">
        <v>94798619</v>
      </c>
      <c r="AB482">
        <f t="shared" si="365"/>
        <v>65</v>
      </c>
      <c r="AC482">
        <f t="shared" si="366"/>
        <v>65</v>
      </c>
      <c r="AD482">
        <f t="shared" si="367"/>
        <v>0</v>
      </c>
      <c r="AE482">
        <f t="shared" si="368"/>
        <v>0</v>
      </c>
      <c r="AF482">
        <f t="shared" si="369"/>
        <v>0</v>
      </c>
      <c r="AG482">
        <f t="shared" si="370"/>
        <v>0</v>
      </c>
      <c r="AH482">
        <f t="shared" si="371"/>
        <v>0</v>
      </c>
      <c r="AI482">
        <f t="shared" si="372"/>
        <v>0</v>
      </c>
      <c r="AJ482">
        <f t="shared" si="373"/>
        <v>0</v>
      </c>
      <c r="AK482">
        <v>65</v>
      </c>
      <c r="AL482">
        <v>65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117</v>
      </c>
      <c r="AU482">
        <v>74</v>
      </c>
      <c r="AV482">
        <v>1</v>
      </c>
      <c r="AW482">
        <v>1</v>
      </c>
      <c r="AZ482">
        <v>1</v>
      </c>
      <c r="BA482">
        <v>1</v>
      </c>
      <c r="BB482">
        <v>1</v>
      </c>
      <c r="BC482">
        <v>15</v>
      </c>
      <c r="BD482" t="s">
        <v>3</v>
      </c>
      <c r="BE482" t="s">
        <v>3</v>
      </c>
      <c r="BF482" t="s">
        <v>3</v>
      </c>
      <c r="BG482" t="s">
        <v>3</v>
      </c>
      <c r="BH482">
        <v>3</v>
      </c>
      <c r="BI482">
        <v>1</v>
      </c>
      <c r="BJ482" t="s">
        <v>566</v>
      </c>
      <c r="BM482">
        <v>23001</v>
      </c>
      <c r="BN482">
        <v>0</v>
      </c>
      <c r="BO482" t="s">
        <v>564</v>
      </c>
      <c r="BP482">
        <v>1</v>
      </c>
      <c r="BQ482">
        <v>2</v>
      </c>
      <c r="BR482">
        <v>1</v>
      </c>
      <c r="BS482">
        <v>1</v>
      </c>
      <c r="BT482">
        <v>1</v>
      </c>
      <c r="BU482">
        <v>1</v>
      </c>
      <c r="BV482">
        <v>1</v>
      </c>
      <c r="BW482">
        <v>1</v>
      </c>
      <c r="BX482">
        <v>1</v>
      </c>
      <c r="BY482" t="s">
        <v>3</v>
      </c>
      <c r="BZ482">
        <v>117</v>
      </c>
      <c r="CA482">
        <v>74</v>
      </c>
      <c r="CB482" t="s">
        <v>3</v>
      </c>
      <c r="CE482">
        <v>0</v>
      </c>
      <c r="CF482">
        <v>0</v>
      </c>
      <c r="CG482">
        <v>0</v>
      </c>
      <c r="CM482">
        <v>0</v>
      </c>
      <c r="CN482" t="s">
        <v>3</v>
      </c>
      <c r="CO482">
        <v>0</v>
      </c>
      <c r="CP482">
        <f t="shared" si="374"/>
        <v>-364.65</v>
      </c>
      <c r="CQ482">
        <f t="shared" si="375"/>
        <v>975</v>
      </c>
      <c r="CR482">
        <f t="shared" si="376"/>
        <v>0</v>
      </c>
      <c r="CS482">
        <f t="shared" si="377"/>
        <v>0</v>
      </c>
      <c r="CT482">
        <f t="shared" si="378"/>
        <v>0</v>
      </c>
      <c r="CU482">
        <f t="shared" si="379"/>
        <v>0</v>
      </c>
      <c r="CV482">
        <f t="shared" si="380"/>
        <v>0</v>
      </c>
      <c r="CW482">
        <f t="shared" si="381"/>
        <v>0</v>
      </c>
      <c r="CX482">
        <f t="shared" si="382"/>
        <v>0</v>
      </c>
      <c r="CY482">
        <f>(((S482+R482)*AT482)/100)</f>
        <v>0</v>
      </c>
      <c r="CZ482">
        <f>(((S482+R482)*AU482)/100)</f>
        <v>0</v>
      </c>
      <c r="DC482" t="s">
        <v>3</v>
      </c>
      <c r="DD482" t="s">
        <v>3</v>
      </c>
      <c r="DE482" t="s">
        <v>3</v>
      </c>
      <c r="DF482" t="s">
        <v>3</v>
      </c>
      <c r="DG482" t="s">
        <v>3</v>
      </c>
      <c r="DH482" t="s">
        <v>3</v>
      </c>
      <c r="DI482" t="s">
        <v>3</v>
      </c>
      <c r="DJ482" t="s">
        <v>3</v>
      </c>
      <c r="DK482" t="s">
        <v>3</v>
      </c>
      <c r="DL482" t="s">
        <v>3</v>
      </c>
      <c r="DM482" t="s">
        <v>3</v>
      </c>
      <c r="DN482">
        <v>0</v>
      </c>
      <c r="DO482">
        <v>0</v>
      </c>
      <c r="DP482">
        <v>1</v>
      </c>
      <c r="DQ482">
        <v>1</v>
      </c>
      <c r="DU482">
        <v>1007</v>
      </c>
      <c r="DV482" t="s">
        <v>52</v>
      </c>
      <c r="DW482" t="s">
        <v>52</v>
      </c>
      <c r="DX482">
        <v>1</v>
      </c>
      <c r="DZ482" t="s">
        <v>3</v>
      </c>
      <c r="EA482" t="s">
        <v>3</v>
      </c>
      <c r="EB482" t="s">
        <v>3</v>
      </c>
      <c r="EC482" t="s">
        <v>3</v>
      </c>
      <c r="EE482">
        <v>92109433</v>
      </c>
      <c r="EF482">
        <v>2</v>
      </c>
      <c r="EG482" t="s">
        <v>21</v>
      </c>
      <c r="EH482">
        <v>18</v>
      </c>
      <c r="EI482" t="s">
        <v>559</v>
      </c>
      <c r="EJ482">
        <v>1</v>
      </c>
      <c r="EK482">
        <v>23001</v>
      </c>
      <c r="EL482" t="s">
        <v>559</v>
      </c>
      <c r="EM482" t="s">
        <v>560</v>
      </c>
      <c r="EO482" t="s">
        <v>3</v>
      </c>
      <c r="EQ482">
        <v>0</v>
      </c>
      <c r="ER482">
        <v>65</v>
      </c>
      <c r="ES482">
        <v>65</v>
      </c>
      <c r="ET482">
        <v>0</v>
      </c>
      <c r="EU482">
        <v>0</v>
      </c>
      <c r="EV482">
        <v>0</v>
      </c>
      <c r="EW482">
        <v>0</v>
      </c>
      <c r="EX482">
        <v>0</v>
      </c>
      <c r="FQ482">
        <v>0</v>
      </c>
      <c r="FR482">
        <f t="shared" si="383"/>
        <v>0</v>
      </c>
      <c r="FS482">
        <v>0</v>
      </c>
      <c r="FX482">
        <v>117</v>
      </c>
      <c r="FY482">
        <v>74</v>
      </c>
      <c r="GA482" t="s">
        <v>3</v>
      </c>
      <c r="GD482">
        <v>1</v>
      </c>
      <c r="GF482">
        <v>-90225913</v>
      </c>
      <c r="GG482">
        <v>2</v>
      </c>
      <c r="GH482">
        <v>1</v>
      </c>
      <c r="GI482">
        <v>2</v>
      </c>
      <c r="GJ482">
        <v>0</v>
      </c>
      <c r="GK482">
        <v>0</v>
      </c>
      <c r="GL482">
        <f t="shared" si="384"/>
        <v>0</v>
      </c>
      <c r="GM482">
        <f t="shared" si="385"/>
        <v>-364.65</v>
      </c>
      <c r="GN482">
        <f t="shared" si="386"/>
        <v>-364.65</v>
      </c>
      <c r="GO482">
        <f t="shared" si="387"/>
        <v>0</v>
      </c>
      <c r="GP482">
        <f t="shared" si="388"/>
        <v>0</v>
      </c>
      <c r="GR482">
        <v>0</v>
      </c>
      <c r="GS482">
        <v>3</v>
      </c>
      <c r="GT482">
        <v>0</v>
      </c>
      <c r="GU482" t="s">
        <v>3</v>
      </c>
      <c r="GV482">
        <f t="shared" si="389"/>
        <v>0</v>
      </c>
      <c r="GW482">
        <v>1</v>
      </c>
      <c r="GX482">
        <f t="shared" si="390"/>
        <v>0</v>
      </c>
      <c r="HA482">
        <v>0</v>
      </c>
      <c r="HB482">
        <v>0</v>
      </c>
      <c r="HC482">
        <f t="shared" si="391"/>
        <v>0</v>
      </c>
      <c r="HE482" t="s">
        <v>3</v>
      </c>
      <c r="HF482" t="s">
        <v>3</v>
      </c>
      <c r="HM482" t="s">
        <v>3</v>
      </c>
      <c r="HN482" t="s">
        <v>561</v>
      </c>
      <c r="HO482" t="s">
        <v>562</v>
      </c>
      <c r="HP482" t="s">
        <v>559</v>
      </c>
      <c r="HQ482" t="s">
        <v>559</v>
      </c>
      <c r="IK482">
        <v>0</v>
      </c>
    </row>
    <row r="483" spans="1:245" x14ac:dyDescent="0.2">
      <c r="A483">
        <v>17</v>
      </c>
      <c r="B483">
        <v>1</v>
      </c>
      <c r="E483" t="s">
        <v>567</v>
      </c>
      <c r="F483" t="s">
        <v>517</v>
      </c>
      <c r="G483" t="s">
        <v>518</v>
      </c>
      <c r="H483" t="s">
        <v>52</v>
      </c>
      <c r="I483">
        <v>0.374</v>
      </c>
      <c r="J483">
        <v>0</v>
      </c>
      <c r="K483">
        <v>0.374</v>
      </c>
      <c r="O483">
        <f t="shared" si="354"/>
        <v>323.94</v>
      </c>
      <c r="P483">
        <f t="shared" si="355"/>
        <v>323.94</v>
      </c>
      <c r="Q483">
        <f t="shared" si="356"/>
        <v>0</v>
      </c>
      <c r="R483">
        <f t="shared" si="357"/>
        <v>0</v>
      </c>
      <c r="S483">
        <f t="shared" si="358"/>
        <v>0</v>
      </c>
      <c r="T483">
        <f t="shared" si="359"/>
        <v>0</v>
      </c>
      <c r="U483">
        <f t="shared" si="360"/>
        <v>0</v>
      </c>
      <c r="V483">
        <f t="shared" si="361"/>
        <v>0</v>
      </c>
      <c r="W483">
        <f t="shared" si="362"/>
        <v>0</v>
      </c>
      <c r="X483">
        <f t="shared" si="363"/>
        <v>0</v>
      </c>
      <c r="Y483">
        <f t="shared" si="364"/>
        <v>0</v>
      </c>
      <c r="AA483">
        <v>94798619</v>
      </c>
      <c r="AB483">
        <f t="shared" si="365"/>
        <v>54</v>
      </c>
      <c r="AC483">
        <f t="shared" si="366"/>
        <v>54</v>
      </c>
      <c r="AD483">
        <f t="shared" si="367"/>
        <v>0</v>
      </c>
      <c r="AE483">
        <f t="shared" si="368"/>
        <v>0</v>
      </c>
      <c r="AF483">
        <f t="shared" si="369"/>
        <v>0</v>
      </c>
      <c r="AG483">
        <f t="shared" si="370"/>
        <v>0</v>
      </c>
      <c r="AH483">
        <f t="shared" si="371"/>
        <v>0</v>
      </c>
      <c r="AI483">
        <f t="shared" si="372"/>
        <v>0</v>
      </c>
      <c r="AJ483">
        <f t="shared" si="373"/>
        <v>0</v>
      </c>
      <c r="AK483">
        <v>54</v>
      </c>
      <c r="AL483">
        <v>54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1</v>
      </c>
      <c r="AW483">
        <v>1</v>
      </c>
      <c r="AZ483">
        <v>1</v>
      </c>
      <c r="BA483">
        <v>1</v>
      </c>
      <c r="BB483">
        <v>1</v>
      </c>
      <c r="BC483">
        <v>16.04</v>
      </c>
      <c r="BD483" t="s">
        <v>3</v>
      </c>
      <c r="BE483" t="s">
        <v>3</v>
      </c>
      <c r="BF483" t="s">
        <v>3</v>
      </c>
      <c r="BG483" t="s">
        <v>3</v>
      </c>
      <c r="BH483">
        <v>3</v>
      </c>
      <c r="BI483">
        <v>1</v>
      </c>
      <c r="BJ483" t="s">
        <v>519</v>
      </c>
      <c r="BM483">
        <v>500001</v>
      </c>
      <c r="BN483">
        <v>0</v>
      </c>
      <c r="BO483" t="s">
        <v>517</v>
      </c>
      <c r="BP483">
        <v>1</v>
      </c>
      <c r="BQ483">
        <v>8</v>
      </c>
      <c r="BR483">
        <v>0</v>
      </c>
      <c r="BS483">
        <v>1</v>
      </c>
      <c r="BT483">
        <v>1</v>
      </c>
      <c r="BU483">
        <v>1</v>
      </c>
      <c r="BV483">
        <v>1</v>
      </c>
      <c r="BW483">
        <v>1</v>
      </c>
      <c r="BX483">
        <v>1</v>
      </c>
      <c r="BY483" t="s">
        <v>3</v>
      </c>
      <c r="BZ483">
        <v>0</v>
      </c>
      <c r="CA483">
        <v>0</v>
      </c>
      <c r="CB483" t="s">
        <v>3</v>
      </c>
      <c r="CE483">
        <v>0</v>
      </c>
      <c r="CF483">
        <v>0</v>
      </c>
      <c r="CG483">
        <v>0</v>
      </c>
      <c r="CM483">
        <v>0</v>
      </c>
      <c r="CN483" t="s">
        <v>3</v>
      </c>
      <c r="CO483">
        <v>0</v>
      </c>
      <c r="CP483">
        <f t="shared" si="374"/>
        <v>323.94</v>
      </c>
      <c r="CQ483">
        <f t="shared" si="375"/>
        <v>866.16</v>
      </c>
      <c r="CR483">
        <f t="shared" si="376"/>
        <v>0</v>
      </c>
      <c r="CS483">
        <f t="shared" si="377"/>
        <v>0</v>
      </c>
      <c r="CT483">
        <f t="shared" si="378"/>
        <v>0</v>
      </c>
      <c r="CU483">
        <f t="shared" si="379"/>
        <v>0</v>
      </c>
      <c r="CV483">
        <f t="shared" si="380"/>
        <v>0</v>
      </c>
      <c r="CW483">
        <f t="shared" si="381"/>
        <v>0</v>
      </c>
      <c r="CX483">
        <f t="shared" si="382"/>
        <v>0</v>
      </c>
      <c r="CY483">
        <f>0</f>
        <v>0</v>
      </c>
      <c r="CZ483">
        <f>0</f>
        <v>0</v>
      </c>
      <c r="DC483" t="s">
        <v>3</v>
      </c>
      <c r="DD483" t="s">
        <v>3</v>
      </c>
      <c r="DE483" t="s">
        <v>3</v>
      </c>
      <c r="DF483" t="s">
        <v>3</v>
      </c>
      <c r="DG483" t="s">
        <v>3</v>
      </c>
      <c r="DH483" t="s">
        <v>3</v>
      </c>
      <c r="DI483" t="s">
        <v>3</v>
      </c>
      <c r="DJ483" t="s">
        <v>3</v>
      </c>
      <c r="DK483" t="s">
        <v>3</v>
      </c>
      <c r="DL483" t="s">
        <v>3</v>
      </c>
      <c r="DM483" t="s">
        <v>3</v>
      </c>
      <c r="DN483">
        <v>0</v>
      </c>
      <c r="DO483">
        <v>0</v>
      </c>
      <c r="DP483">
        <v>1</v>
      </c>
      <c r="DQ483">
        <v>1</v>
      </c>
      <c r="DU483">
        <v>1007</v>
      </c>
      <c r="DV483" t="s">
        <v>52</v>
      </c>
      <c r="DW483" t="s">
        <v>52</v>
      </c>
      <c r="DX483">
        <v>1</v>
      </c>
      <c r="DZ483" t="s">
        <v>3</v>
      </c>
      <c r="EA483" t="s">
        <v>3</v>
      </c>
      <c r="EB483" t="s">
        <v>3</v>
      </c>
      <c r="EC483" t="s">
        <v>3</v>
      </c>
      <c r="EE483">
        <v>92109332</v>
      </c>
      <c r="EF483">
        <v>8</v>
      </c>
      <c r="EG483" t="s">
        <v>154</v>
      </c>
      <c r="EH483">
        <v>0</v>
      </c>
      <c r="EI483" t="s">
        <v>3</v>
      </c>
      <c r="EJ483">
        <v>1</v>
      </c>
      <c r="EK483">
        <v>500001</v>
      </c>
      <c r="EL483" t="s">
        <v>155</v>
      </c>
      <c r="EM483" t="s">
        <v>156</v>
      </c>
      <c r="EO483" t="s">
        <v>3</v>
      </c>
      <c r="EQ483">
        <v>0</v>
      </c>
      <c r="ER483">
        <v>54</v>
      </c>
      <c r="ES483">
        <v>54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0</v>
      </c>
      <c r="FQ483">
        <v>0</v>
      </c>
      <c r="FR483">
        <f t="shared" si="383"/>
        <v>0</v>
      </c>
      <c r="FS483">
        <v>0</v>
      </c>
      <c r="FX483">
        <v>0</v>
      </c>
      <c r="FY483">
        <v>0</v>
      </c>
      <c r="GA483" t="s">
        <v>3</v>
      </c>
      <c r="GD483">
        <v>1</v>
      </c>
      <c r="GF483">
        <v>-659917486</v>
      </c>
      <c r="GG483">
        <v>2</v>
      </c>
      <c r="GH483">
        <v>1</v>
      </c>
      <c r="GI483">
        <v>2</v>
      </c>
      <c r="GJ483">
        <v>0</v>
      </c>
      <c r="GK483">
        <v>0</v>
      </c>
      <c r="GL483">
        <f t="shared" si="384"/>
        <v>0</v>
      </c>
      <c r="GM483">
        <f t="shared" si="385"/>
        <v>323.94</v>
      </c>
      <c r="GN483">
        <f t="shared" si="386"/>
        <v>323.94</v>
      </c>
      <c r="GO483">
        <f t="shared" si="387"/>
        <v>0</v>
      </c>
      <c r="GP483">
        <f t="shared" si="388"/>
        <v>0</v>
      </c>
      <c r="GR483">
        <v>0</v>
      </c>
      <c r="GS483">
        <v>3</v>
      </c>
      <c r="GT483">
        <v>0</v>
      </c>
      <c r="GU483" t="s">
        <v>3</v>
      </c>
      <c r="GV483">
        <f t="shared" si="389"/>
        <v>0</v>
      </c>
      <c r="GW483">
        <v>1</v>
      </c>
      <c r="GX483">
        <f t="shared" si="390"/>
        <v>0</v>
      </c>
      <c r="HA483">
        <v>0</v>
      </c>
      <c r="HB483">
        <v>0</v>
      </c>
      <c r="HC483">
        <f t="shared" si="391"/>
        <v>0</v>
      </c>
      <c r="HE483" t="s">
        <v>3</v>
      </c>
      <c r="HF483" t="s">
        <v>3</v>
      </c>
      <c r="HM483" t="s">
        <v>3</v>
      </c>
      <c r="HN483" t="s">
        <v>3</v>
      </c>
      <c r="HO483" t="s">
        <v>3</v>
      </c>
      <c r="HP483" t="s">
        <v>3</v>
      </c>
      <c r="HQ483" t="s">
        <v>3</v>
      </c>
      <c r="IK483">
        <v>0</v>
      </c>
    </row>
    <row r="484" spans="1:245" x14ac:dyDescent="0.2">
      <c r="A484">
        <v>17</v>
      </c>
      <c r="B484">
        <v>1</v>
      </c>
      <c r="C484">
        <f>ROW(SmtRes!A461)</f>
        <v>461</v>
      </c>
      <c r="D484">
        <f>ROW(EtalonRes!A461)</f>
        <v>461</v>
      </c>
      <c r="E484" t="s">
        <v>568</v>
      </c>
      <c r="F484" t="s">
        <v>569</v>
      </c>
      <c r="G484" t="s">
        <v>570</v>
      </c>
      <c r="H484" t="s">
        <v>571</v>
      </c>
      <c r="I484">
        <f>ROUND(0.42/10,9)</f>
        <v>4.2000000000000003E-2</v>
      </c>
      <c r="J484">
        <v>0</v>
      </c>
      <c r="K484">
        <f>ROUND(0.42/10,9)</f>
        <v>4.2000000000000003E-2</v>
      </c>
      <c r="O484">
        <f t="shared" si="354"/>
        <v>8103.63</v>
      </c>
      <c r="P484">
        <f t="shared" si="355"/>
        <v>5872.99</v>
      </c>
      <c r="Q484">
        <f t="shared" si="356"/>
        <v>1017.81</v>
      </c>
      <c r="R484">
        <f t="shared" si="357"/>
        <v>195.49</v>
      </c>
      <c r="S484">
        <f t="shared" si="358"/>
        <v>1212.83</v>
      </c>
      <c r="T484">
        <f t="shared" si="359"/>
        <v>0</v>
      </c>
      <c r="U484">
        <f t="shared" si="360"/>
        <v>4.0551000000000004</v>
      </c>
      <c r="V484">
        <f t="shared" si="361"/>
        <v>0.46074000000000004</v>
      </c>
      <c r="W484">
        <f t="shared" si="362"/>
        <v>0</v>
      </c>
      <c r="X484">
        <f t="shared" si="363"/>
        <v>1647.73</v>
      </c>
      <c r="Y484">
        <f t="shared" si="364"/>
        <v>1042.1600000000001</v>
      </c>
      <c r="AA484">
        <v>94798619</v>
      </c>
      <c r="AB484">
        <f t="shared" si="365"/>
        <v>15365.4</v>
      </c>
      <c r="AC484">
        <f t="shared" si="366"/>
        <v>12620.31</v>
      </c>
      <c r="AD484">
        <f t="shared" si="367"/>
        <v>1926.35</v>
      </c>
      <c r="AE484">
        <f t="shared" si="368"/>
        <v>131.97</v>
      </c>
      <c r="AF484">
        <f t="shared" si="369"/>
        <v>818.74</v>
      </c>
      <c r="AG484">
        <f t="shared" si="370"/>
        <v>0</v>
      </c>
      <c r="AH484">
        <f t="shared" si="371"/>
        <v>96.55</v>
      </c>
      <c r="AI484">
        <f t="shared" si="372"/>
        <v>10.97</v>
      </c>
      <c r="AJ484">
        <f t="shared" si="373"/>
        <v>0</v>
      </c>
      <c r="AK484">
        <v>15365.4</v>
      </c>
      <c r="AL484">
        <v>12620.31</v>
      </c>
      <c r="AM484">
        <v>1926.35</v>
      </c>
      <c r="AN484">
        <v>131.97</v>
      </c>
      <c r="AO484">
        <v>818.74</v>
      </c>
      <c r="AP484">
        <v>0</v>
      </c>
      <c r="AQ484">
        <v>96.55</v>
      </c>
      <c r="AR484">
        <v>10.97</v>
      </c>
      <c r="AS484">
        <v>0</v>
      </c>
      <c r="AT484">
        <v>117</v>
      </c>
      <c r="AU484">
        <v>74</v>
      </c>
      <c r="AV484">
        <v>1</v>
      </c>
      <c r="AW484">
        <v>1</v>
      </c>
      <c r="AZ484">
        <v>1</v>
      </c>
      <c r="BA484">
        <v>35.270000000000003</v>
      </c>
      <c r="BB484">
        <v>12.58</v>
      </c>
      <c r="BC484">
        <v>11.08</v>
      </c>
      <c r="BD484" t="s">
        <v>3</v>
      </c>
      <c r="BE484" t="s">
        <v>3</v>
      </c>
      <c r="BF484" t="s">
        <v>3</v>
      </c>
      <c r="BG484" t="s">
        <v>3</v>
      </c>
      <c r="BH484">
        <v>0</v>
      </c>
      <c r="BI484">
        <v>1</v>
      </c>
      <c r="BJ484" t="s">
        <v>572</v>
      </c>
      <c r="BM484">
        <v>23001</v>
      </c>
      <c r="BN484">
        <v>0</v>
      </c>
      <c r="BO484" t="s">
        <v>569</v>
      </c>
      <c r="BP484">
        <v>1</v>
      </c>
      <c r="BQ484">
        <v>2</v>
      </c>
      <c r="BR484">
        <v>0</v>
      </c>
      <c r="BS484">
        <v>35.270000000000003</v>
      </c>
      <c r="BT484">
        <v>1</v>
      </c>
      <c r="BU484">
        <v>1</v>
      </c>
      <c r="BV484">
        <v>1</v>
      </c>
      <c r="BW484">
        <v>1</v>
      </c>
      <c r="BX484">
        <v>1</v>
      </c>
      <c r="BY484" t="s">
        <v>3</v>
      </c>
      <c r="BZ484">
        <v>117</v>
      </c>
      <c r="CA484">
        <v>74</v>
      </c>
      <c r="CB484" t="s">
        <v>3</v>
      </c>
      <c r="CE484">
        <v>0</v>
      </c>
      <c r="CF484">
        <v>0</v>
      </c>
      <c r="CG484">
        <v>0</v>
      </c>
      <c r="CM484">
        <v>0</v>
      </c>
      <c r="CN484" t="s">
        <v>3</v>
      </c>
      <c r="CO484">
        <v>0</v>
      </c>
      <c r="CP484">
        <f t="shared" si="374"/>
        <v>8103.6299999999992</v>
      </c>
      <c r="CQ484">
        <f t="shared" si="375"/>
        <v>139833.03479999999</v>
      </c>
      <c r="CR484">
        <f t="shared" si="376"/>
        <v>24233.483</v>
      </c>
      <c r="CS484">
        <f t="shared" si="377"/>
        <v>4654.5819000000001</v>
      </c>
      <c r="CT484">
        <f t="shared" si="378"/>
        <v>28876.959800000004</v>
      </c>
      <c r="CU484">
        <f t="shared" si="379"/>
        <v>0</v>
      </c>
      <c r="CV484">
        <f t="shared" si="380"/>
        <v>96.55</v>
      </c>
      <c r="CW484">
        <f t="shared" si="381"/>
        <v>10.97</v>
      </c>
      <c r="CX484">
        <f t="shared" si="382"/>
        <v>0</v>
      </c>
      <c r="CY484">
        <f>(((S484+R484)*AT484)/100)</f>
        <v>1647.7344000000001</v>
      </c>
      <c r="CZ484">
        <f>(((S484+R484)*AU484)/100)</f>
        <v>1042.1568</v>
      </c>
      <c r="DC484" t="s">
        <v>3</v>
      </c>
      <c r="DD484" t="s">
        <v>3</v>
      </c>
      <c r="DE484" t="s">
        <v>3</v>
      </c>
      <c r="DF484" t="s">
        <v>3</v>
      </c>
      <c r="DG484" t="s">
        <v>3</v>
      </c>
      <c r="DH484" t="s">
        <v>3</v>
      </c>
      <c r="DI484" t="s">
        <v>3</v>
      </c>
      <c r="DJ484" t="s">
        <v>3</v>
      </c>
      <c r="DK484" t="s">
        <v>3</v>
      </c>
      <c r="DL484" t="s">
        <v>3</v>
      </c>
      <c r="DM484" t="s">
        <v>3</v>
      </c>
      <c r="DN484">
        <v>0</v>
      </c>
      <c r="DO484">
        <v>0</v>
      </c>
      <c r="DP484">
        <v>1</v>
      </c>
      <c r="DQ484">
        <v>1</v>
      </c>
      <c r="DU484">
        <v>1013</v>
      </c>
      <c r="DV484" t="s">
        <v>571</v>
      </c>
      <c r="DW484" t="s">
        <v>571</v>
      </c>
      <c r="DX484">
        <v>1</v>
      </c>
      <c r="DZ484" t="s">
        <v>3</v>
      </c>
      <c r="EA484" t="s">
        <v>3</v>
      </c>
      <c r="EB484" t="s">
        <v>3</v>
      </c>
      <c r="EC484" t="s">
        <v>3</v>
      </c>
      <c r="EE484">
        <v>92109433</v>
      </c>
      <c r="EF484">
        <v>2</v>
      </c>
      <c r="EG484" t="s">
        <v>21</v>
      </c>
      <c r="EH484">
        <v>18</v>
      </c>
      <c r="EI484" t="s">
        <v>559</v>
      </c>
      <c r="EJ484">
        <v>1</v>
      </c>
      <c r="EK484">
        <v>23001</v>
      </c>
      <c r="EL484" t="s">
        <v>559</v>
      </c>
      <c r="EM484" t="s">
        <v>560</v>
      </c>
      <c r="EO484" t="s">
        <v>3</v>
      </c>
      <c r="EQ484">
        <v>0</v>
      </c>
      <c r="ER484">
        <v>15365.4</v>
      </c>
      <c r="ES484">
        <v>12620.31</v>
      </c>
      <c r="ET484">
        <v>1926.35</v>
      </c>
      <c r="EU484">
        <v>131.97</v>
      </c>
      <c r="EV484">
        <v>818.74</v>
      </c>
      <c r="EW484">
        <v>96.55</v>
      </c>
      <c r="EX484">
        <v>10.97</v>
      </c>
      <c r="EY484">
        <v>0</v>
      </c>
      <c r="FQ484">
        <v>0</v>
      </c>
      <c r="FR484">
        <f t="shared" si="383"/>
        <v>0</v>
      </c>
      <c r="FS484">
        <v>0</v>
      </c>
      <c r="FX484">
        <v>117</v>
      </c>
      <c r="FY484">
        <v>74</v>
      </c>
      <c r="GA484" t="s">
        <v>3</v>
      </c>
      <c r="GD484">
        <v>1</v>
      </c>
      <c r="GF484">
        <v>1113357626</v>
      </c>
      <c r="GG484">
        <v>2</v>
      </c>
      <c r="GH484">
        <v>1</v>
      </c>
      <c r="GI484">
        <v>2</v>
      </c>
      <c r="GJ484">
        <v>0</v>
      </c>
      <c r="GK484">
        <v>0</v>
      </c>
      <c r="GL484">
        <f t="shared" si="384"/>
        <v>0</v>
      </c>
      <c r="GM484">
        <f t="shared" si="385"/>
        <v>10793.52</v>
      </c>
      <c r="GN484">
        <f t="shared" si="386"/>
        <v>10793.52</v>
      </c>
      <c r="GO484">
        <f t="shared" si="387"/>
        <v>0</v>
      </c>
      <c r="GP484">
        <f t="shared" si="388"/>
        <v>0</v>
      </c>
      <c r="GR484">
        <v>0</v>
      </c>
      <c r="GS484">
        <v>3</v>
      </c>
      <c r="GT484">
        <v>0</v>
      </c>
      <c r="GU484" t="s">
        <v>3</v>
      </c>
      <c r="GV484">
        <f t="shared" si="389"/>
        <v>0</v>
      </c>
      <c r="GW484">
        <v>1</v>
      </c>
      <c r="GX484">
        <f t="shared" si="390"/>
        <v>0</v>
      </c>
      <c r="HA484">
        <v>0</v>
      </c>
      <c r="HB484">
        <v>0</v>
      </c>
      <c r="HC484">
        <f t="shared" si="391"/>
        <v>0</v>
      </c>
      <c r="HE484" t="s">
        <v>3</v>
      </c>
      <c r="HF484" t="s">
        <v>3</v>
      </c>
      <c r="HM484" t="s">
        <v>3</v>
      </c>
      <c r="HN484" t="s">
        <v>561</v>
      </c>
      <c r="HO484" t="s">
        <v>562</v>
      </c>
      <c r="HP484" t="s">
        <v>559</v>
      </c>
      <c r="HQ484" t="s">
        <v>559</v>
      </c>
      <c r="IK484">
        <v>0</v>
      </c>
    </row>
    <row r="485" spans="1:245" x14ac:dyDescent="0.2">
      <c r="A485">
        <v>18</v>
      </c>
      <c r="B485">
        <v>1</v>
      </c>
      <c r="C485">
        <v>454</v>
      </c>
      <c r="E485" t="s">
        <v>573</v>
      </c>
      <c r="F485" t="s">
        <v>574</v>
      </c>
      <c r="G485" t="s">
        <v>575</v>
      </c>
      <c r="H485" t="s">
        <v>47</v>
      </c>
      <c r="I485">
        <f>I484*J485</f>
        <v>0</v>
      </c>
      <c r="J485">
        <v>0</v>
      </c>
      <c r="K485">
        <v>0</v>
      </c>
      <c r="O485">
        <f t="shared" si="354"/>
        <v>0</v>
      </c>
      <c r="P485">
        <f t="shared" si="355"/>
        <v>0</v>
      </c>
      <c r="Q485">
        <f t="shared" si="356"/>
        <v>0</v>
      </c>
      <c r="R485">
        <f t="shared" si="357"/>
        <v>0</v>
      </c>
      <c r="S485">
        <f t="shared" si="358"/>
        <v>0</v>
      </c>
      <c r="T485">
        <f t="shared" si="359"/>
        <v>0</v>
      </c>
      <c r="U485">
        <f t="shared" si="360"/>
        <v>0</v>
      </c>
      <c r="V485">
        <f t="shared" si="361"/>
        <v>0</v>
      </c>
      <c r="W485">
        <f t="shared" si="362"/>
        <v>0</v>
      </c>
      <c r="X485">
        <f t="shared" si="363"/>
        <v>0</v>
      </c>
      <c r="Y485">
        <f t="shared" si="364"/>
        <v>0</v>
      </c>
      <c r="AA485">
        <v>94798619</v>
      </c>
      <c r="AB485">
        <f t="shared" si="365"/>
        <v>0</v>
      </c>
      <c r="AC485">
        <f t="shared" si="366"/>
        <v>0</v>
      </c>
      <c r="AD485">
        <f t="shared" si="367"/>
        <v>0</v>
      </c>
      <c r="AE485">
        <f t="shared" si="368"/>
        <v>0</v>
      </c>
      <c r="AF485">
        <f t="shared" si="369"/>
        <v>0</v>
      </c>
      <c r="AG485">
        <f t="shared" si="370"/>
        <v>0</v>
      </c>
      <c r="AH485">
        <f t="shared" si="371"/>
        <v>0</v>
      </c>
      <c r="AI485">
        <f t="shared" si="372"/>
        <v>0</v>
      </c>
      <c r="AJ485">
        <f t="shared" si="373"/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117</v>
      </c>
      <c r="AU485">
        <v>74</v>
      </c>
      <c r="AV485">
        <v>1</v>
      </c>
      <c r="AW485">
        <v>1</v>
      </c>
      <c r="AZ485">
        <v>1</v>
      </c>
      <c r="BA485">
        <v>1</v>
      </c>
      <c r="BB485">
        <v>1</v>
      </c>
      <c r="BC485">
        <v>1</v>
      </c>
      <c r="BD485" t="s">
        <v>3</v>
      </c>
      <c r="BE485" t="s">
        <v>3</v>
      </c>
      <c r="BF485" t="s">
        <v>3</v>
      </c>
      <c r="BG485" t="s">
        <v>3</v>
      </c>
      <c r="BH485">
        <v>3</v>
      </c>
      <c r="BI485">
        <v>1</v>
      </c>
      <c r="BJ485" t="s">
        <v>576</v>
      </c>
      <c r="BM485">
        <v>23001</v>
      </c>
      <c r="BN485">
        <v>0</v>
      </c>
      <c r="BO485" t="s">
        <v>3</v>
      </c>
      <c r="BP485">
        <v>0</v>
      </c>
      <c r="BQ485">
        <v>2</v>
      </c>
      <c r="BR485">
        <v>0</v>
      </c>
      <c r="BS485">
        <v>1</v>
      </c>
      <c r="BT485">
        <v>1</v>
      </c>
      <c r="BU485">
        <v>1</v>
      </c>
      <c r="BV485">
        <v>1</v>
      </c>
      <c r="BW485">
        <v>1</v>
      </c>
      <c r="BX485">
        <v>1</v>
      </c>
      <c r="BY485" t="s">
        <v>3</v>
      </c>
      <c r="BZ485">
        <v>117</v>
      </c>
      <c r="CA485">
        <v>74</v>
      </c>
      <c r="CB485" t="s">
        <v>3</v>
      </c>
      <c r="CE485">
        <v>0</v>
      </c>
      <c r="CF485">
        <v>0</v>
      </c>
      <c r="CG485">
        <v>0</v>
      </c>
      <c r="CM485">
        <v>0</v>
      </c>
      <c r="CN485" t="s">
        <v>3</v>
      </c>
      <c r="CO485">
        <v>0</v>
      </c>
      <c r="CP485">
        <f t="shared" si="374"/>
        <v>0</v>
      </c>
      <c r="CQ485">
        <f t="shared" si="375"/>
        <v>0</v>
      </c>
      <c r="CR485">
        <f t="shared" si="376"/>
        <v>0</v>
      </c>
      <c r="CS485">
        <f t="shared" si="377"/>
        <v>0</v>
      </c>
      <c r="CT485">
        <f t="shared" si="378"/>
        <v>0</v>
      </c>
      <c r="CU485">
        <f t="shared" si="379"/>
        <v>0</v>
      </c>
      <c r="CV485">
        <f t="shared" si="380"/>
        <v>0</v>
      </c>
      <c r="CW485">
        <f t="shared" si="381"/>
        <v>0</v>
      </c>
      <c r="CX485">
        <f t="shared" si="382"/>
        <v>0</v>
      </c>
      <c r="CY485">
        <f>(((S485+R485)*AT485)/100)</f>
        <v>0</v>
      </c>
      <c r="CZ485">
        <f>(((S485+R485)*AU485)/100)</f>
        <v>0</v>
      </c>
      <c r="DC485" t="s">
        <v>3</v>
      </c>
      <c r="DD485" t="s">
        <v>3</v>
      </c>
      <c r="DE485" t="s">
        <v>3</v>
      </c>
      <c r="DF485" t="s">
        <v>3</v>
      </c>
      <c r="DG485" t="s">
        <v>3</v>
      </c>
      <c r="DH485" t="s">
        <v>3</v>
      </c>
      <c r="DI485" t="s">
        <v>3</v>
      </c>
      <c r="DJ485" t="s">
        <v>3</v>
      </c>
      <c r="DK485" t="s">
        <v>3</v>
      </c>
      <c r="DL485" t="s">
        <v>3</v>
      </c>
      <c r="DM485" t="s">
        <v>3</v>
      </c>
      <c r="DN485">
        <v>0</v>
      </c>
      <c r="DO485">
        <v>0</v>
      </c>
      <c r="DP485">
        <v>1</v>
      </c>
      <c r="DQ485">
        <v>1</v>
      </c>
      <c r="DU485">
        <v>1010</v>
      </c>
      <c r="DV485" t="s">
        <v>47</v>
      </c>
      <c r="DW485" t="s">
        <v>47</v>
      </c>
      <c r="DX485">
        <v>1</v>
      </c>
      <c r="DZ485" t="s">
        <v>3</v>
      </c>
      <c r="EA485" t="s">
        <v>3</v>
      </c>
      <c r="EB485" t="s">
        <v>3</v>
      </c>
      <c r="EC485" t="s">
        <v>3</v>
      </c>
      <c r="EE485">
        <v>92109433</v>
      </c>
      <c r="EF485">
        <v>2</v>
      </c>
      <c r="EG485" t="s">
        <v>21</v>
      </c>
      <c r="EH485">
        <v>18</v>
      </c>
      <c r="EI485" t="s">
        <v>559</v>
      </c>
      <c r="EJ485">
        <v>1</v>
      </c>
      <c r="EK485">
        <v>23001</v>
      </c>
      <c r="EL485" t="s">
        <v>559</v>
      </c>
      <c r="EM485" t="s">
        <v>560</v>
      </c>
      <c r="EO485" t="s">
        <v>3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0</v>
      </c>
      <c r="FQ485">
        <v>0</v>
      </c>
      <c r="FR485">
        <f t="shared" si="383"/>
        <v>0</v>
      </c>
      <c r="FS485">
        <v>0</v>
      </c>
      <c r="FX485">
        <v>117</v>
      </c>
      <c r="FY485">
        <v>74</v>
      </c>
      <c r="GA485" t="s">
        <v>3</v>
      </c>
      <c r="GD485">
        <v>1</v>
      </c>
      <c r="GF485">
        <v>-1884050412</v>
      </c>
      <c r="GG485">
        <v>2</v>
      </c>
      <c r="GH485">
        <v>1</v>
      </c>
      <c r="GI485">
        <v>-2</v>
      </c>
      <c r="GJ485">
        <v>0</v>
      </c>
      <c r="GK485">
        <v>0</v>
      </c>
      <c r="GL485">
        <f t="shared" si="384"/>
        <v>0</v>
      </c>
      <c r="GM485">
        <f t="shared" si="385"/>
        <v>0</v>
      </c>
      <c r="GN485">
        <f t="shared" si="386"/>
        <v>0</v>
      </c>
      <c r="GO485">
        <f t="shared" si="387"/>
        <v>0</v>
      </c>
      <c r="GP485">
        <f t="shared" si="388"/>
        <v>0</v>
      </c>
      <c r="GR485">
        <v>0</v>
      </c>
      <c r="GS485">
        <v>3</v>
      </c>
      <c r="GT485">
        <v>0</v>
      </c>
      <c r="GU485" t="s">
        <v>3</v>
      </c>
      <c r="GV485">
        <f t="shared" si="389"/>
        <v>0</v>
      </c>
      <c r="GW485">
        <v>1</v>
      </c>
      <c r="GX485">
        <f t="shared" si="390"/>
        <v>0</v>
      </c>
      <c r="HA485">
        <v>0</v>
      </c>
      <c r="HB485">
        <v>0</v>
      </c>
      <c r="HC485">
        <f t="shared" si="391"/>
        <v>0</v>
      </c>
      <c r="HE485" t="s">
        <v>3</v>
      </c>
      <c r="HF485" t="s">
        <v>3</v>
      </c>
      <c r="HM485" t="s">
        <v>3</v>
      </c>
      <c r="HN485" t="s">
        <v>561</v>
      </c>
      <c r="HO485" t="s">
        <v>562</v>
      </c>
      <c r="HP485" t="s">
        <v>559</v>
      </c>
      <c r="HQ485" t="s">
        <v>559</v>
      </c>
      <c r="IK485">
        <v>0</v>
      </c>
    </row>
    <row r="486" spans="1:245" x14ac:dyDescent="0.2">
      <c r="A486">
        <v>18</v>
      </c>
      <c r="B486">
        <v>1</v>
      </c>
      <c r="C486">
        <v>455</v>
      </c>
      <c r="E486" t="s">
        <v>577</v>
      </c>
      <c r="F486" t="s">
        <v>578</v>
      </c>
      <c r="G486" t="s">
        <v>579</v>
      </c>
      <c r="H486" t="s">
        <v>170</v>
      </c>
      <c r="I486">
        <f>I484*J486</f>
        <v>0</v>
      </c>
      <c r="J486">
        <v>0</v>
      </c>
      <c r="K486">
        <v>0</v>
      </c>
      <c r="O486">
        <f t="shared" si="354"/>
        <v>0</v>
      </c>
      <c r="P486">
        <f t="shared" si="355"/>
        <v>0</v>
      </c>
      <c r="Q486">
        <f t="shared" si="356"/>
        <v>0</v>
      </c>
      <c r="R486">
        <f t="shared" si="357"/>
        <v>0</v>
      </c>
      <c r="S486">
        <f t="shared" si="358"/>
        <v>0</v>
      </c>
      <c r="T486">
        <f t="shared" si="359"/>
        <v>0</v>
      </c>
      <c r="U486">
        <f t="shared" si="360"/>
        <v>0</v>
      </c>
      <c r="V486">
        <f t="shared" si="361"/>
        <v>0</v>
      </c>
      <c r="W486">
        <f t="shared" si="362"/>
        <v>0</v>
      </c>
      <c r="X486">
        <f t="shared" si="363"/>
        <v>0</v>
      </c>
      <c r="Y486">
        <f t="shared" si="364"/>
        <v>0</v>
      </c>
      <c r="AA486">
        <v>94798619</v>
      </c>
      <c r="AB486">
        <f t="shared" si="365"/>
        <v>7571</v>
      </c>
      <c r="AC486">
        <f t="shared" si="366"/>
        <v>7571</v>
      </c>
      <c r="AD486">
        <f t="shared" si="367"/>
        <v>0</v>
      </c>
      <c r="AE486">
        <f t="shared" si="368"/>
        <v>0</v>
      </c>
      <c r="AF486">
        <f t="shared" si="369"/>
        <v>0</v>
      </c>
      <c r="AG486">
        <f t="shared" si="370"/>
        <v>0</v>
      </c>
      <c r="AH486">
        <f t="shared" si="371"/>
        <v>0</v>
      </c>
      <c r="AI486">
        <f t="shared" si="372"/>
        <v>0</v>
      </c>
      <c r="AJ486">
        <f t="shared" si="373"/>
        <v>0</v>
      </c>
      <c r="AK486">
        <v>7571</v>
      </c>
      <c r="AL486">
        <v>7571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117</v>
      </c>
      <c r="AU486">
        <v>74</v>
      </c>
      <c r="AV486">
        <v>1</v>
      </c>
      <c r="AW486">
        <v>1</v>
      </c>
      <c r="AZ486">
        <v>1</v>
      </c>
      <c r="BA486">
        <v>1</v>
      </c>
      <c r="BB486">
        <v>1</v>
      </c>
      <c r="BC486">
        <v>17.03</v>
      </c>
      <c r="BD486" t="s">
        <v>3</v>
      </c>
      <c r="BE486" t="s">
        <v>3</v>
      </c>
      <c r="BF486" t="s">
        <v>3</v>
      </c>
      <c r="BG486" t="s">
        <v>3</v>
      </c>
      <c r="BH486">
        <v>3</v>
      </c>
      <c r="BI486">
        <v>1</v>
      </c>
      <c r="BJ486" t="s">
        <v>580</v>
      </c>
      <c r="BM486">
        <v>23001</v>
      </c>
      <c r="BN486">
        <v>0</v>
      </c>
      <c r="BO486" t="s">
        <v>578</v>
      </c>
      <c r="BP486">
        <v>1</v>
      </c>
      <c r="BQ486">
        <v>2</v>
      </c>
      <c r="BR486">
        <v>0</v>
      </c>
      <c r="BS486">
        <v>1</v>
      </c>
      <c r="BT486">
        <v>1</v>
      </c>
      <c r="BU486">
        <v>1</v>
      </c>
      <c r="BV486">
        <v>1</v>
      </c>
      <c r="BW486">
        <v>1</v>
      </c>
      <c r="BX486">
        <v>1</v>
      </c>
      <c r="BY486" t="s">
        <v>3</v>
      </c>
      <c r="BZ486">
        <v>117</v>
      </c>
      <c r="CA486">
        <v>74</v>
      </c>
      <c r="CB486" t="s">
        <v>3</v>
      </c>
      <c r="CE486">
        <v>0</v>
      </c>
      <c r="CF486">
        <v>0</v>
      </c>
      <c r="CG486">
        <v>0</v>
      </c>
      <c r="CM486">
        <v>0</v>
      </c>
      <c r="CN486" t="s">
        <v>3</v>
      </c>
      <c r="CO486">
        <v>0</v>
      </c>
      <c r="CP486">
        <f t="shared" si="374"/>
        <v>0</v>
      </c>
      <c r="CQ486">
        <f t="shared" si="375"/>
        <v>128934.13</v>
      </c>
      <c r="CR486">
        <f t="shared" si="376"/>
        <v>0</v>
      </c>
      <c r="CS486">
        <f t="shared" si="377"/>
        <v>0</v>
      </c>
      <c r="CT486">
        <f t="shared" si="378"/>
        <v>0</v>
      </c>
      <c r="CU486">
        <f t="shared" si="379"/>
        <v>0</v>
      </c>
      <c r="CV486">
        <f t="shared" si="380"/>
        <v>0</v>
      </c>
      <c r="CW486">
        <f t="shared" si="381"/>
        <v>0</v>
      </c>
      <c r="CX486">
        <f t="shared" si="382"/>
        <v>0</v>
      </c>
      <c r="CY486">
        <f>(((S486+R486)*AT486)/100)</f>
        <v>0</v>
      </c>
      <c r="CZ486">
        <f>(((S486+R486)*AU486)/100)</f>
        <v>0</v>
      </c>
      <c r="DC486" t="s">
        <v>3</v>
      </c>
      <c r="DD486" t="s">
        <v>3</v>
      </c>
      <c r="DE486" t="s">
        <v>3</v>
      </c>
      <c r="DF486" t="s">
        <v>3</v>
      </c>
      <c r="DG486" t="s">
        <v>3</v>
      </c>
      <c r="DH486" t="s">
        <v>3</v>
      </c>
      <c r="DI486" t="s">
        <v>3</v>
      </c>
      <c r="DJ486" t="s">
        <v>3</v>
      </c>
      <c r="DK486" t="s">
        <v>3</v>
      </c>
      <c r="DL486" t="s">
        <v>3</v>
      </c>
      <c r="DM486" t="s">
        <v>3</v>
      </c>
      <c r="DN486">
        <v>0</v>
      </c>
      <c r="DO486">
        <v>0</v>
      </c>
      <c r="DP486">
        <v>1</v>
      </c>
      <c r="DQ486">
        <v>1</v>
      </c>
      <c r="DU486">
        <v>1009</v>
      </c>
      <c r="DV486" t="s">
        <v>170</v>
      </c>
      <c r="DW486" t="s">
        <v>170</v>
      </c>
      <c r="DX486">
        <v>1000</v>
      </c>
      <c r="DZ486" t="s">
        <v>3</v>
      </c>
      <c r="EA486" t="s">
        <v>3</v>
      </c>
      <c r="EB486" t="s">
        <v>3</v>
      </c>
      <c r="EC486" t="s">
        <v>3</v>
      </c>
      <c r="EE486">
        <v>92109433</v>
      </c>
      <c r="EF486">
        <v>2</v>
      </c>
      <c r="EG486" t="s">
        <v>21</v>
      </c>
      <c r="EH486">
        <v>18</v>
      </c>
      <c r="EI486" t="s">
        <v>559</v>
      </c>
      <c r="EJ486">
        <v>1</v>
      </c>
      <c r="EK486">
        <v>23001</v>
      </c>
      <c r="EL486" t="s">
        <v>559</v>
      </c>
      <c r="EM486" t="s">
        <v>560</v>
      </c>
      <c r="EO486" t="s">
        <v>3</v>
      </c>
      <c r="EQ486">
        <v>0</v>
      </c>
      <c r="ER486">
        <v>7571</v>
      </c>
      <c r="ES486">
        <v>7571</v>
      </c>
      <c r="ET486">
        <v>0</v>
      </c>
      <c r="EU486">
        <v>0</v>
      </c>
      <c r="EV486">
        <v>0</v>
      </c>
      <c r="EW486">
        <v>0</v>
      </c>
      <c r="EX486">
        <v>0</v>
      </c>
      <c r="FQ486">
        <v>0</v>
      </c>
      <c r="FR486">
        <f t="shared" si="383"/>
        <v>0</v>
      </c>
      <c r="FS486">
        <v>0</v>
      </c>
      <c r="FX486">
        <v>117</v>
      </c>
      <c r="FY486">
        <v>74</v>
      </c>
      <c r="GA486" t="s">
        <v>3</v>
      </c>
      <c r="GD486">
        <v>1</v>
      </c>
      <c r="GF486">
        <v>-1190477650</v>
      </c>
      <c r="GG486">
        <v>2</v>
      </c>
      <c r="GH486">
        <v>1</v>
      </c>
      <c r="GI486">
        <v>2</v>
      </c>
      <c r="GJ486">
        <v>0</v>
      </c>
      <c r="GK486">
        <v>0</v>
      </c>
      <c r="GL486">
        <f t="shared" si="384"/>
        <v>0</v>
      </c>
      <c r="GM486">
        <f t="shared" si="385"/>
        <v>0</v>
      </c>
      <c r="GN486">
        <f t="shared" si="386"/>
        <v>0</v>
      </c>
      <c r="GO486">
        <f t="shared" si="387"/>
        <v>0</v>
      </c>
      <c r="GP486">
        <f t="shared" si="388"/>
        <v>0</v>
      </c>
      <c r="GR486">
        <v>0</v>
      </c>
      <c r="GS486">
        <v>3</v>
      </c>
      <c r="GT486">
        <v>0</v>
      </c>
      <c r="GU486" t="s">
        <v>3</v>
      </c>
      <c r="GV486">
        <f t="shared" si="389"/>
        <v>0</v>
      </c>
      <c r="GW486">
        <v>1</v>
      </c>
      <c r="GX486">
        <f t="shared" si="390"/>
        <v>0</v>
      </c>
      <c r="HA486">
        <v>0</v>
      </c>
      <c r="HB486">
        <v>0</v>
      </c>
      <c r="HC486">
        <f t="shared" si="391"/>
        <v>0</v>
      </c>
      <c r="HE486" t="s">
        <v>3</v>
      </c>
      <c r="HF486" t="s">
        <v>3</v>
      </c>
      <c r="HM486" t="s">
        <v>3</v>
      </c>
      <c r="HN486" t="s">
        <v>561</v>
      </c>
      <c r="HO486" t="s">
        <v>562</v>
      </c>
      <c r="HP486" t="s">
        <v>559</v>
      </c>
      <c r="HQ486" t="s">
        <v>559</v>
      </c>
      <c r="IK486">
        <v>0</v>
      </c>
    </row>
    <row r="487" spans="1:245" x14ac:dyDescent="0.2">
      <c r="A487">
        <v>17</v>
      </c>
      <c r="B487">
        <v>1</v>
      </c>
      <c r="E487" t="s">
        <v>581</v>
      </c>
      <c r="F487" t="s">
        <v>582</v>
      </c>
      <c r="G487" t="s">
        <v>583</v>
      </c>
      <c r="H487" t="s">
        <v>47</v>
      </c>
      <c r="I487">
        <v>1</v>
      </c>
      <c r="J487">
        <v>0</v>
      </c>
      <c r="K487">
        <v>1</v>
      </c>
      <c r="O487">
        <f t="shared" si="354"/>
        <v>4670.25</v>
      </c>
      <c r="P487">
        <f t="shared" si="355"/>
        <v>4670.25</v>
      </c>
      <c r="Q487">
        <f t="shared" si="356"/>
        <v>0</v>
      </c>
      <c r="R487">
        <f t="shared" si="357"/>
        <v>0</v>
      </c>
      <c r="S487">
        <f t="shared" si="358"/>
        <v>0</v>
      </c>
      <c r="T487">
        <f t="shared" si="359"/>
        <v>0</v>
      </c>
      <c r="U487">
        <f t="shared" si="360"/>
        <v>0</v>
      </c>
      <c r="V487">
        <f t="shared" si="361"/>
        <v>0</v>
      </c>
      <c r="W487">
        <f t="shared" si="362"/>
        <v>0</v>
      </c>
      <c r="X487">
        <f t="shared" si="363"/>
        <v>0</v>
      </c>
      <c r="Y487">
        <f t="shared" si="364"/>
        <v>0</v>
      </c>
      <c r="AA487">
        <v>94798619</v>
      </c>
      <c r="AB487">
        <f t="shared" si="365"/>
        <v>325</v>
      </c>
      <c r="AC487">
        <f t="shared" si="366"/>
        <v>325</v>
      </c>
      <c r="AD487">
        <f t="shared" si="367"/>
        <v>0</v>
      </c>
      <c r="AE487">
        <f t="shared" si="368"/>
        <v>0</v>
      </c>
      <c r="AF487">
        <f t="shared" si="369"/>
        <v>0</v>
      </c>
      <c r="AG487">
        <f t="shared" si="370"/>
        <v>0</v>
      </c>
      <c r="AH487">
        <f t="shared" si="371"/>
        <v>0</v>
      </c>
      <c r="AI487">
        <f t="shared" si="372"/>
        <v>0</v>
      </c>
      <c r="AJ487">
        <f t="shared" si="373"/>
        <v>0</v>
      </c>
      <c r="AK487">
        <v>325</v>
      </c>
      <c r="AL487">
        <v>325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1</v>
      </c>
      <c r="AW487">
        <v>1</v>
      </c>
      <c r="AZ487">
        <v>1</v>
      </c>
      <c r="BA487">
        <v>1</v>
      </c>
      <c r="BB487">
        <v>1</v>
      </c>
      <c r="BC487">
        <v>14.37</v>
      </c>
      <c r="BD487" t="s">
        <v>3</v>
      </c>
      <c r="BE487" t="s">
        <v>3</v>
      </c>
      <c r="BF487" t="s">
        <v>3</v>
      </c>
      <c r="BG487" t="s">
        <v>3</v>
      </c>
      <c r="BH487">
        <v>3</v>
      </c>
      <c r="BI487">
        <v>1</v>
      </c>
      <c r="BJ487" t="s">
        <v>584</v>
      </c>
      <c r="BM487">
        <v>500001</v>
      </c>
      <c r="BN487">
        <v>0</v>
      </c>
      <c r="BO487" t="s">
        <v>582</v>
      </c>
      <c r="BP487">
        <v>1</v>
      </c>
      <c r="BQ487">
        <v>8</v>
      </c>
      <c r="BR487">
        <v>0</v>
      </c>
      <c r="BS487">
        <v>1</v>
      </c>
      <c r="BT487">
        <v>1</v>
      </c>
      <c r="BU487">
        <v>1</v>
      </c>
      <c r="BV487">
        <v>1</v>
      </c>
      <c r="BW487">
        <v>1</v>
      </c>
      <c r="BX487">
        <v>1</v>
      </c>
      <c r="BY487" t="s">
        <v>3</v>
      </c>
      <c r="BZ487">
        <v>0</v>
      </c>
      <c r="CA487">
        <v>0</v>
      </c>
      <c r="CB487" t="s">
        <v>3</v>
      </c>
      <c r="CE487">
        <v>0</v>
      </c>
      <c r="CF487">
        <v>0</v>
      </c>
      <c r="CG487">
        <v>0</v>
      </c>
      <c r="CM487">
        <v>0</v>
      </c>
      <c r="CN487" t="s">
        <v>3</v>
      </c>
      <c r="CO487">
        <v>0</v>
      </c>
      <c r="CP487">
        <f t="shared" si="374"/>
        <v>4670.25</v>
      </c>
      <c r="CQ487">
        <f t="shared" si="375"/>
        <v>4670.25</v>
      </c>
      <c r="CR487">
        <f t="shared" si="376"/>
        <v>0</v>
      </c>
      <c r="CS487">
        <f t="shared" si="377"/>
        <v>0</v>
      </c>
      <c r="CT487">
        <f t="shared" si="378"/>
        <v>0</v>
      </c>
      <c r="CU487">
        <f t="shared" si="379"/>
        <v>0</v>
      </c>
      <c r="CV487">
        <f t="shared" si="380"/>
        <v>0</v>
      </c>
      <c r="CW487">
        <f t="shared" si="381"/>
        <v>0</v>
      </c>
      <c r="CX487">
        <f t="shared" si="382"/>
        <v>0</v>
      </c>
      <c r="CY487">
        <f>0</f>
        <v>0</v>
      </c>
      <c r="CZ487">
        <f>0</f>
        <v>0</v>
      </c>
      <c r="DC487" t="s">
        <v>3</v>
      </c>
      <c r="DD487" t="s">
        <v>3</v>
      </c>
      <c r="DE487" t="s">
        <v>3</v>
      </c>
      <c r="DF487" t="s">
        <v>3</v>
      </c>
      <c r="DG487" t="s">
        <v>3</v>
      </c>
      <c r="DH487" t="s">
        <v>3</v>
      </c>
      <c r="DI487" t="s">
        <v>3</v>
      </c>
      <c r="DJ487" t="s">
        <v>3</v>
      </c>
      <c r="DK487" t="s">
        <v>3</v>
      </c>
      <c r="DL487" t="s">
        <v>3</v>
      </c>
      <c r="DM487" t="s">
        <v>3</v>
      </c>
      <c r="DN487">
        <v>0</v>
      </c>
      <c r="DO487">
        <v>0</v>
      </c>
      <c r="DP487">
        <v>1</v>
      </c>
      <c r="DQ487">
        <v>1</v>
      </c>
      <c r="DU487">
        <v>1010</v>
      </c>
      <c r="DV487" t="s">
        <v>47</v>
      </c>
      <c r="DW487" t="s">
        <v>47</v>
      </c>
      <c r="DX487">
        <v>1</v>
      </c>
      <c r="DZ487" t="s">
        <v>3</v>
      </c>
      <c r="EA487" t="s">
        <v>3</v>
      </c>
      <c r="EB487" t="s">
        <v>3</v>
      </c>
      <c r="EC487" t="s">
        <v>3</v>
      </c>
      <c r="EE487">
        <v>92109332</v>
      </c>
      <c r="EF487">
        <v>8</v>
      </c>
      <c r="EG487" t="s">
        <v>154</v>
      </c>
      <c r="EH487">
        <v>0</v>
      </c>
      <c r="EI487" t="s">
        <v>3</v>
      </c>
      <c r="EJ487">
        <v>1</v>
      </c>
      <c r="EK487">
        <v>500001</v>
      </c>
      <c r="EL487" t="s">
        <v>155</v>
      </c>
      <c r="EM487" t="s">
        <v>156</v>
      </c>
      <c r="EO487" t="s">
        <v>3</v>
      </c>
      <c r="EQ487">
        <v>0</v>
      </c>
      <c r="ER487">
        <v>325</v>
      </c>
      <c r="ES487">
        <v>325</v>
      </c>
      <c r="ET487">
        <v>0</v>
      </c>
      <c r="EU487">
        <v>0</v>
      </c>
      <c r="EV487">
        <v>0</v>
      </c>
      <c r="EW487">
        <v>0</v>
      </c>
      <c r="EX487">
        <v>0</v>
      </c>
      <c r="EY487">
        <v>0</v>
      </c>
      <c r="FQ487">
        <v>0</v>
      </c>
      <c r="FR487">
        <f t="shared" si="383"/>
        <v>0</v>
      </c>
      <c r="FS487">
        <v>0</v>
      </c>
      <c r="FX487">
        <v>0</v>
      </c>
      <c r="FY487">
        <v>0</v>
      </c>
      <c r="GA487" t="s">
        <v>3</v>
      </c>
      <c r="GD487">
        <v>1</v>
      </c>
      <c r="GF487">
        <v>-1406987459</v>
      </c>
      <c r="GG487">
        <v>2</v>
      </c>
      <c r="GH487">
        <v>1</v>
      </c>
      <c r="GI487">
        <v>2</v>
      </c>
      <c r="GJ487">
        <v>0</v>
      </c>
      <c r="GK487">
        <v>0</v>
      </c>
      <c r="GL487">
        <f t="shared" si="384"/>
        <v>0</v>
      </c>
      <c r="GM487">
        <f t="shared" si="385"/>
        <v>4670.25</v>
      </c>
      <c r="GN487">
        <f t="shared" si="386"/>
        <v>4670.25</v>
      </c>
      <c r="GO487">
        <f t="shared" si="387"/>
        <v>0</v>
      </c>
      <c r="GP487">
        <f t="shared" si="388"/>
        <v>0</v>
      </c>
      <c r="GR487">
        <v>0</v>
      </c>
      <c r="GS487">
        <v>3</v>
      </c>
      <c r="GT487">
        <v>0</v>
      </c>
      <c r="GU487" t="s">
        <v>3</v>
      </c>
      <c r="GV487">
        <f t="shared" si="389"/>
        <v>0</v>
      </c>
      <c r="GW487">
        <v>1</v>
      </c>
      <c r="GX487">
        <f t="shared" si="390"/>
        <v>0</v>
      </c>
      <c r="HA487">
        <v>0</v>
      </c>
      <c r="HB487">
        <v>0</v>
      </c>
      <c r="HC487">
        <f t="shared" si="391"/>
        <v>0</v>
      </c>
      <c r="HE487" t="s">
        <v>3</v>
      </c>
      <c r="HF487" t="s">
        <v>3</v>
      </c>
      <c r="HM487" t="s">
        <v>3</v>
      </c>
      <c r="HN487" t="s">
        <v>3</v>
      </c>
      <c r="HO487" t="s">
        <v>3</v>
      </c>
      <c r="HP487" t="s">
        <v>3</v>
      </c>
      <c r="HQ487" t="s">
        <v>3</v>
      </c>
      <c r="IK487">
        <v>0</v>
      </c>
    </row>
    <row r="488" spans="1:245" x14ac:dyDescent="0.2">
      <c r="A488">
        <v>17</v>
      </c>
      <c r="B488">
        <v>1</v>
      </c>
      <c r="E488" t="s">
        <v>585</v>
      </c>
      <c r="F488" t="s">
        <v>586</v>
      </c>
      <c r="G488" t="s">
        <v>587</v>
      </c>
      <c r="H488" t="s">
        <v>47</v>
      </c>
      <c r="I488">
        <v>1</v>
      </c>
      <c r="J488">
        <v>0</v>
      </c>
      <c r="K488">
        <v>1</v>
      </c>
      <c r="O488">
        <f t="shared" si="354"/>
        <v>3968.06</v>
      </c>
      <c r="P488">
        <f t="shared" si="355"/>
        <v>3968.06</v>
      </c>
      <c r="Q488">
        <f t="shared" si="356"/>
        <v>0</v>
      </c>
      <c r="R488">
        <f t="shared" si="357"/>
        <v>0</v>
      </c>
      <c r="S488">
        <f t="shared" si="358"/>
        <v>0</v>
      </c>
      <c r="T488">
        <f t="shared" si="359"/>
        <v>0</v>
      </c>
      <c r="U488">
        <f t="shared" si="360"/>
        <v>0</v>
      </c>
      <c r="V488">
        <f t="shared" si="361"/>
        <v>0</v>
      </c>
      <c r="W488">
        <f t="shared" si="362"/>
        <v>0</v>
      </c>
      <c r="X488">
        <f t="shared" si="363"/>
        <v>0</v>
      </c>
      <c r="Y488">
        <f t="shared" si="364"/>
        <v>0</v>
      </c>
      <c r="AA488">
        <v>94798619</v>
      </c>
      <c r="AB488">
        <f t="shared" si="365"/>
        <v>159.36000000000001</v>
      </c>
      <c r="AC488">
        <f t="shared" si="366"/>
        <v>159.36000000000001</v>
      </c>
      <c r="AD488">
        <f t="shared" si="367"/>
        <v>0</v>
      </c>
      <c r="AE488">
        <f t="shared" si="368"/>
        <v>0</v>
      </c>
      <c r="AF488">
        <f t="shared" si="369"/>
        <v>0</v>
      </c>
      <c r="AG488">
        <f t="shared" si="370"/>
        <v>0</v>
      </c>
      <c r="AH488">
        <f t="shared" si="371"/>
        <v>0</v>
      </c>
      <c r="AI488">
        <f t="shared" si="372"/>
        <v>0</v>
      </c>
      <c r="AJ488">
        <f t="shared" si="373"/>
        <v>0</v>
      </c>
      <c r="AK488">
        <v>159.36000000000001</v>
      </c>
      <c r="AL488">
        <v>159.36000000000001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1</v>
      </c>
      <c r="AW488">
        <v>1</v>
      </c>
      <c r="AZ488">
        <v>1</v>
      </c>
      <c r="BA488">
        <v>1</v>
      </c>
      <c r="BB488">
        <v>1</v>
      </c>
      <c r="BC488">
        <v>24.9</v>
      </c>
      <c r="BD488" t="s">
        <v>3</v>
      </c>
      <c r="BE488" t="s">
        <v>3</v>
      </c>
      <c r="BF488" t="s">
        <v>3</v>
      </c>
      <c r="BG488" t="s">
        <v>3</v>
      </c>
      <c r="BH488">
        <v>3</v>
      </c>
      <c r="BI488">
        <v>1</v>
      </c>
      <c r="BJ488" t="s">
        <v>588</v>
      </c>
      <c r="BM488">
        <v>500001</v>
      </c>
      <c r="BN488">
        <v>0</v>
      </c>
      <c r="BO488" t="s">
        <v>586</v>
      </c>
      <c r="BP488">
        <v>1</v>
      </c>
      <c r="BQ488">
        <v>8</v>
      </c>
      <c r="BR488">
        <v>0</v>
      </c>
      <c r="BS488">
        <v>1</v>
      </c>
      <c r="BT488">
        <v>1</v>
      </c>
      <c r="BU488">
        <v>1</v>
      </c>
      <c r="BV488">
        <v>1</v>
      </c>
      <c r="BW488">
        <v>1</v>
      </c>
      <c r="BX488">
        <v>1</v>
      </c>
      <c r="BY488" t="s">
        <v>3</v>
      </c>
      <c r="BZ488">
        <v>0</v>
      </c>
      <c r="CA488">
        <v>0</v>
      </c>
      <c r="CB488" t="s">
        <v>3</v>
      </c>
      <c r="CE488">
        <v>0</v>
      </c>
      <c r="CF488">
        <v>0</v>
      </c>
      <c r="CG488">
        <v>0</v>
      </c>
      <c r="CM488">
        <v>0</v>
      </c>
      <c r="CN488" t="s">
        <v>3</v>
      </c>
      <c r="CO488">
        <v>0</v>
      </c>
      <c r="CP488">
        <f t="shared" si="374"/>
        <v>3968.06</v>
      </c>
      <c r="CQ488">
        <f t="shared" si="375"/>
        <v>3968.0640000000003</v>
      </c>
      <c r="CR488">
        <f t="shared" si="376"/>
        <v>0</v>
      </c>
      <c r="CS488">
        <f t="shared" si="377"/>
        <v>0</v>
      </c>
      <c r="CT488">
        <f t="shared" si="378"/>
        <v>0</v>
      </c>
      <c r="CU488">
        <f t="shared" si="379"/>
        <v>0</v>
      </c>
      <c r="CV488">
        <f t="shared" si="380"/>
        <v>0</v>
      </c>
      <c r="CW488">
        <f t="shared" si="381"/>
        <v>0</v>
      </c>
      <c r="CX488">
        <f t="shared" si="382"/>
        <v>0</v>
      </c>
      <c r="CY488">
        <f>0</f>
        <v>0</v>
      </c>
      <c r="CZ488">
        <f>0</f>
        <v>0</v>
      </c>
      <c r="DC488" t="s">
        <v>3</v>
      </c>
      <c r="DD488" t="s">
        <v>3</v>
      </c>
      <c r="DE488" t="s">
        <v>3</v>
      </c>
      <c r="DF488" t="s">
        <v>3</v>
      </c>
      <c r="DG488" t="s">
        <v>3</v>
      </c>
      <c r="DH488" t="s">
        <v>3</v>
      </c>
      <c r="DI488" t="s">
        <v>3</v>
      </c>
      <c r="DJ488" t="s">
        <v>3</v>
      </c>
      <c r="DK488" t="s">
        <v>3</v>
      </c>
      <c r="DL488" t="s">
        <v>3</v>
      </c>
      <c r="DM488" t="s">
        <v>3</v>
      </c>
      <c r="DN488">
        <v>0</v>
      </c>
      <c r="DO488">
        <v>0</v>
      </c>
      <c r="DP488">
        <v>1</v>
      </c>
      <c r="DQ488">
        <v>1</v>
      </c>
      <c r="DU488">
        <v>1010</v>
      </c>
      <c r="DV488" t="s">
        <v>47</v>
      </c>
      <c r="DW488" t="s">
        <v>47</v>
      </c>
      <c r="DX488">
        <v>1</v>
      </c>
      <c r="DZ488" t="s">
        <v>3</v>
      </c>
      <c r="EA488" t="s">
        <v>3</v>
      </c>
      <c r="EB488" t="s">
        <v>3</v>
      </c>
      <c r="EC488" t="s">
        <v>3</v>
      </c>
      <c r="EE488">
        <v>92109332</v>
      </c>
      <c r="EF488">
        <v>8</v>
      </c>
      <c r="EG488" t="s">
        <v>154</v>
      </c>
      <c r="EH488">
        <v>0</v>
      </c>
      <c r="EI488" t="s">
        <v>3</v>
      </c>
      <c r="EJ488">
        <v>1</v>
      </c>
      <c r="EK488">
        <v>500001</v>
      </c>
      <c r="EL488" t="s">
        <v>155</v>
      </c>
      <c r="EM488" t="s">
        <v>156</v>
      </c>
      <c r="EO488" t="s">
        <v>3</v>
      </c>
      <c r="EQ488">
        <v>0</v>
      </c>
      <c r="ER488">
        <v>159.36000000000001</v>
      </c>
      <c r="ES488">
        <v>159.36000000000001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FQ488">
        <v>0</v>
      </c>
      <c r="FR488">
        <f t="shared" si="383"/>
        <v>0</v>
      </c>
      <c r="FS488">
        <v>0</v>
      </c>
      <c r="FX488">
        <v>0</v>
      </c>
      <c r="FY488">
        <v>0</v>
      </c>
      <c r="GA488" t="s">
        <v>3</v>
      </c>
      <c r="GD488">
        <v>1</v>
      </c>
      <c r="GF488">
        <v>-643235294</v>
      </c>
      <c r="GG488">
        <v>2</v>
      </c>
      <c r="GH488">
        <v>1</v>
      </c>
      <c r="GI488">
        <v>2</v>
      </c>
      <c r="GJ488">
        <v>0</v>
      </c>
      <c r="GK488">
        <v>0</v>
      </c>
      <c r="GL488">
        <f t="shared" si="384"/>
        <v>0</v>
      </c>
      <c r="GM488">
        <f t="shared" si="385"/>
        <v>3968.06</v>
      </c>
      <c r="GN488">
        <f t="shared" si="386"/>
        <v>3968.06</v>
      </c>
      <c r="GO488">
        <f t="shared" si="387"/>
        <v>0</v>
      </c>
      <c r="GP488">
        <f t="shared" si="388"/>
        <v>0</v>
      </c>
      <c r="GR488">
        <v>0</v>
      </c>
      <c r="GS488">
        <v>3</v>
      </c>
      <c r="GT488">
        <v>0</v>
      </c>
      <c r="GU488" t="s">
        <v>3</v>
      </c>
      <c r="GV488">
        <f t="shared" si="389"/>
        <v>0</v>
      </c>
      <c r="GW488">
        <v>1</v>
      </c>
      <c r="GX488">
        <f t="shared" si="390"/>
        <v>0</v>
      </c>
      <c r="HA488">
        <v>0</v>
      </c>
      <c r="HB488">
        <v>0</v>
      </c>
      <c r="HC488">
        <f t="shared" si="391"/>
        <v>0</v>
      </c>
      <c r="HE488" t="s">
        <v>3</v>
      </c>
      <c r="HF488" t="s">
        <v>3</v>
      </c>
      <c r="HM488" t="s">
        <v>3</v>
      </c>
      <c r="HN488" t="s">
        <v>3</v>
      </c>
      <c r="HO488" t="s">
        <v>3</v>
      </c>
      <c r="HP488" t="s">
        <v>3</v>
      </c>
      <c r="HQ488" t="s">
        <v>3</v>
      </c>
      <c r="IK488">
        <v>0</v>
      </c>
    </row>
    <row r="489" spans="1:245" x14ac:dyDescent="0.2">
      <c r="A489">
        <v>17</v>
      </c>
      <c r="B489">
        <v>1</v>
      </c>
      <c r="C489">
        <f>ROW(SmtRes!A474)</f>
        <v>474</v>
      </c>
      <c r="D489">
        <f>ROW(EtalonRes!A474)</f>
        <v>474</v>
      </c>
      <c r="E489" t="s">
        <v>589</v>
      </c>
      <c r="F489" t="s">
        <v>590</v>
      </c>
      <c r="G489" t="s">
        <v>591</v>
      </c>
      <c r="H489" t="s">
        <v>592</v>
      </c>
      <c r="I489">
        <v>0.84</v>
      </c>
      <c r="J489">
        <v>0</v>
      </c>
      <c r="K489">
        <v>0.84</v>
      </c>
      <c r="O489">
        <f t="shared" si="354"/>
        <v>24270.880000000001</v>
      </c>
      <c r="P489">
        <f t="shared" si="355"/>
        <v>18637.439999999999</v>
      </c>
      <c r="Q489">
        <f t="shared" si="356"/>
        <v>407.27</v>
      </c>
      <c r="R489">
        <f t="shared" si="357"/>
        <v>0</v>
      </c>
      <c r="S489">
        <f t="shared" si="358"/>
        <v>5226.17</v>
      </c>
      <c r="T489">
        <f t="shared" si="359"/>
        <v>0</v>
      </c>
      <c r="U489">
        <f t="shared" si="360"/>
        <v>18.899999999999999</v>
      </c>
      <c r="V489">
        <f t="shared" si="361"/>
        <v>0</v>
      </c>
      <c r="W489">
        <f t="shared" si="362"/>
        <v>0</v>
      </c>
      <c r="X489">
        <f t="shared" si="363"/>
        <v>5644.26</v>
      </c>
      <c r="Y489">
        <f t="shared" si="364"/>
        <v>2874.39</v>
      </c>
      <c r="AA489">
        <v>94798619</v>
      </c>
      <c r="AB489">
        <f t="shared" si="365"/>
        <v>2076.2800000000002</v>
      </c>
      <c r="AC489">
        <f t="shared" si="366"/>
        <v>1864.49</v>
      </c>
      <c r="AD489">
        <f t="shared" si="367"/>
        <v>35.39</v>
      </c>
      <c r="AE489">
        <f t="shared" si="368"/>
        <v>0</v>
      </c>
      <c r="AF489">
        <f t="shared" si="369"/>
        <v>176.4</v>
      </c>
      <c r="AG489">
        <f t="shared" si="370"/>
        <v>0</v>
      </c>
      <c r="AH489">
        <f t="shared" si="371"/>
        <v>22.5</v>
      </c>
      <c r="AI489">
        <f t="shared" si="372"/>
        <v>0</v>
      </c>
      <c r="AJ489">
        <f t="shared" si="373"/>
        <v>0</v>
      </c>
      <c r="AK489">
        <v>2076.2800000000002</v>
      </c>
      <c r="AL489">
        <v>1864.49</v>
      </c>
      <c r="AM489">
        <v>35.39</v>
      </c>
      <c r="AN489">
        <v>0</v>
      </c>
      <c r="AO489">
        <v>176.4</v>
      </c>
      <c r="AP489">
        <v>0</v>
      </c>
      <c r="AQ489">
        <v>22.5</v>
      </c>
      <c r="AR489">
        <v>0</v>
      </c>
      <c r="AS489">
        <v>0</v>
      </c>
      <c r="AT489">
        <v>108</v>
      </c>
      <c r="AU489">
        <v>55</v>
      </c>
      <c r="AV489">
        <v>1</v>
      </c>
      <c r="AW489">
        <v>1</v>
      </c>
      <c r="AZ489">
        <v>1</v>
      </c>
      <c r="BA489">
        <v>35.270000000000003</v>
      </c>
      <c r="BB489">
        <v>13.7</v>
      </c>
      <c r="BC489">
        <v>11.9</v>
      </c>
      <c r="BD489" t="s">
        <v>3</v>
      </c>
      <c r="BE489" t="s">
        <v>3</v>
      </c>
      <c r="BF489" t="s">
        <v>3</v>
      </c>
      <c r="BG489" t="s">
        <v>3</v>
      </c>
      <c r="BH489">
        <v>0</v>
      </c>
      <c r="BI489">
        <v>1</v>
      </c>
      <c r="BJ489" t="s">
        <v>593</v>
      </c>
      <c r="BM489">
        <v>10001</v>
      </c>
      <c r="BN489">
        <v>0</v>
      </c>
      <c r="BO489" t="s">
        <v>590</v>
      </c>
      <c r="BP489">
        <v>1</v>
      </c>
      <c r="BQ489">
        <v>2</v>
      </c>
      <c r="BR489">
        <v>0</v>
      </c>
      <c r="BS489">
        <v>35.270000000000003</v>
      </c>
      <c r="BT489">
        <v>1</v>
      </c>
      <c r="BU489">
        <v>1</v>
      </c>
      <c r="BV489">
        <v>1</v>
      </c>
      <c r="BW489">
        <v>1</v>
      </c>
      <c r="BX489">
        <v>1</v>
      </c>
      <c r="BY489" t="s">
        <v>3</v>
      </c>
      <c r="BZ489">
        <v>108</v>
      </c>
      <c r="CA489">
        <v>55</v>
      </c>
      <c r="CB489" t="s">
        <v>3</v>
      </c>
      <c r="CE489">
        <v>0</v>
      </c>
      <c r="CF489">
        <v>0</v>
      </c>
      <c r="CG489">
        <v>0</v>
      </c>
      <c r="CM489">
        <v>0</v>
      </c>
      <c r="CN489" t="s">
        <v>3</v>
      </c>
      <c r="CO489">
        <v>0</v>
      </c>
      <c r="CP489">
        <f t="shared" si="374"/>
        <v>24270.879999999997</v>
      </c>
      <c r="CQ489">
        <f t="shared" si="375"/>
        <v>22187.431</v>
      </c>
      <c r="CR489">
        <f t="shared" si="376"/>
        <v>484.84299999999996</v>
      </c>
      <c r="CS489">
        <f t="shared" si="377"/>
        <v>0</v>
      </c>
      <c r="CT489">
        <f t="shared" si="378"/>
        <v>6221.6280000000006</v>
      </c>
      <c r="CU489">
        <f t="shared" si="379"/>
        <v>0</v>
      </c>
      <c r="CV489">
        <f t="shared" si="380"/>
        <v>22.5</v>
      </c>
      <c r="CW489">
        <f t="shared" si="381"/>
        <v>0</v>
      </c>
      <c r="CX489">
        <f t="shared" si="382"/>
        <v>0</v>
      </c>
      <c r="CY489">
        <f>(((S489+R489)*AT489)/100)</f>
        <v>5644.2636000000002</v>
      </c>
      <c r="CZ489">
        <f>(((S489+R489)*AU489)/100)</f>
        <v>2874.3934999999997</v>
      </c>
      <c r="DC489" t="s">
        <v>3</v>
      </c>
      <c r="DD489" t="s">
        <v>3</v>
      </c>
      <c r="DE489" t="s">
        <v>3</v>
      </c>
      <c r="DF489" t="s">
        <v>3</v>
      </c>
      <c r="DG489" t="s">
        <v>3</v>
      </c>
      <c r="DH489" t="s">
        <v>3</v>
      </c>
      <c r="DI489" t="s">
        <v>3</v>
      </c>
      <c r="DJ489" t="s">
        <v>3</v>
      </c>
      <c r="DK489" t="s">
        <v>3</v>
      </c>
      <c r="DL489" t="s">
        <v>3</v>
      </c>
      <c r="DM489" t="s">
        <v>3</v>
      </c>
      <c r="DN489">
        <v>0</v>
      </c>
      <c r="DO489">
        <v>0</v>
      </c>
      <c r="DP489">
        <v>1</v>
      </c>
      <c r="DQ489">
        <v>1</v>
      </c>
      <c r="DU489">
        <v>1013</v>
      </c>
      <c r="DV489" t="s">
        <v>592</v>
      </c>
      <c r="DW489" t="s">
        <v>592</v>
      </c>
      <c r="DX489">
        <v>1</v>
      </c>
      <c r="DZ489" t="s">
        <v>3</v>
      </c>
      <c r="EA489" t="s">
        <v>3</v>
      </c>
      <c r="EB489" t="s">
        <v>3</v>
      </c>
      <c r="EC489" t="s">
        <v>3</v>
      </c>
      <c r="EE489">
        <v>92109399</v>
      </c>
      <c r="EF489">
        <v>2</v>
      </c>
      <c r="EG489" t="s">
        <v>21</v>
      </c>
      <c r="EH489">
        <v>10</v>
      </c>
      <c r="EI489" t="s">
        <v>594</v>
      </c>
      <c r="EJ489">
        <v>1</v>
      </c>
      <c r="EK489">
        <v>10001</v>
      </c>
      <c r="EL489" t="s">
        <v>594</v>
      </c>
      <c r="EM489" t="s">
        <v>595</v>
      </c>
      <c r="EO489" t="s">
        <v>3</v>
      </c>
      <c r="EQ489">
        <v>0</v>
      </c>
      <c r="ER489">
        <v>2076.2800000000002</v>
      </c>
      <c r="ES489">
        <v>1864.49</v>
      </c>
      <c r="ET489">
        <v>35.39</v>
      </c>
      <c r="EU489">
        <v>0</v>
      </c>
      <c r="EV489">
        <v>176.4</v>
      </c>
      <c r="EW489">
        <v>22.5</v>
      </c>
      <c r="EX489">
        <v>0</v>
      </c>
      <c r="EY489">
        <v>0</v>
      </c>
      <c r="FQ489">
        <v>0</v>
      </c>
      <c r="FR489">
        <f t="shared" si="383"/>
        <v>0</v>
      </c>
      <c r="FS489">
        <v>0</v>
      </c>
      <c r="FX489">
        <v>108</v>
      </c>
      <c r="FY489">
        <v>55</v>
      </c>
      <c r="GA489" t="s">
        <v>3</v>
      </c>
      <c r="GD489">
        <v>1</v>
      </c>
      <c r="GF489">
        <v>442272361</v>
      </c>
      <c r="GG489">
        <v>2</v>
      </c>
      <c r="GH489">
        <v>1</v>
      </c>
      <c r="GI489">
        <v>2</v>
      </c>
      <c r="GJ489">
        <v>0</v>
      </c>
      <c r="GK489">
        <v>0</v>
      </c>
      <c r="GL489">
        <f t="shared" si="384"/>
        <v>0</v>
      </c>
      <c r="GM489">
        <f t="shared" si="385"/>
        <v>32789.53</v>
      </c>
      <c r="GN489">
        <f t="shared" si="386"/>
        <v>32789.53</v>
      </c>
      <c r="GO489">
        <f t="shared" si="387"/>
        <v>0</v>
      </c>
      <c r="GP489">
        <f t="shared" si="388"/>
        <v>0</v>
      </c>
      <c r="GR489">
        <v>0</v>
      </c>
      <c r="GS489">
        <v>3</v>
      </c>
      <c r="GT489">
        <v>0</v>
      </c>
      <c r="GU489" t="s">
        <v>3</v>
      </c>
      <c r="GV489">
        <f t="shared" si="389"/>
        <v>0</v>
      </c>
      <c r="GW489">
        <v>1</v>
      </c>
      <c r="GX489">
        <f t="shared" si="390"/>
        <v>0</v>
      </c>
      <c r="HA489">
        <v>0</v>
      </c>
      <c r="HB489">
        <v>0</v>
      </c>
      <c r="HC489">
        <f t="shared" si="391"/>
        <v>0</v>
      </c>
      <c r="HE489" t="s">
        <v>3</v>
      </c>
      <c r="HF489" t="s">
        <v>3</v>
      </c>
      <c r="HM489" t="s">
        <v>3</v>
      </c>
      <c r="HN489" t="s">
        <v>596</v>
      </c>
      <c r="HO489" t="s">
        <v>597</v>
      </c>
      <c r="HP489" t="s">
        <v>594</v>
      </c>
      <c r="HQ489" t="s">
        <v>594</v>
      </c>
      <c r="IK489">
        <v>0</v>
      </c>
    </row>
    <row r="490" spans="1:245" x14ac:dyDescent="0.2">
      <c r="A490">
        <v>17</v>
      </c>
      <c r="B490">
        <v>1</v>
      </c>
      <c r="C490">
        <f>ROW(SmtRes!A482)</f>
        <v>482</v>
      </c>
      <c r="D490">
        <f>ROW(EtalonRes!A482)</f>
        <v>482</v>
      </c>
      <c r="E490" t="s">
        <v>598</v>
      </c>
      <c r="F490" t="s">
        <v>599</v>
      </c>
      <c r="G490" t="s">
        <v>600</v>
      </c>
      <c r="H490" t="s">
        <v>601</v>
      </c>
      <c r="I490">
        <f>ROUND(12/100,9)</f>
        <v>0.12</v>
      </c>
      <c r="J490">
        <v>0</v>
      </c>
      <c r="K490">
        <f>ROUND(12/100,9)</f>
        <v>0.12</v>
      </c>
      <c r="O490">
        <f t="shared" si="354"/>
        <v>6444.87</v>
      </c>
      <c r="P490">
        <f t="shared" si="355"/>
        <v>5116.9399999999996</v>
      </c>
      <c r="Q490">
        <f t="shared" si="356"/>
        <v>88.09</v>
      </c>
      <c r="R490">
        <f t="shared" si="357"/>
        <v>0</v>
      </c>
      <c r="S490">
        <f t="shared" si="358"/>
        <v>1239.8399999999999</v>
      </c>
      <c r="T490">
        <f t="shared" si="359"/>
        <v>0</v>
      </c>
      <c r="U490">
        <f t="shared" si="360"/>
        <v>4.3559999999999999</v>
      </c>
      <c r="V490">
        <f t="shared" si="361"/>
        <v>0</v>
      </c>
      <c r="W490">
        <f t="shared" si="362"/>
        <v>0</v>
      </c>
      <c r="X490">
        <f t="shared" si="363"/>
        <v>1339.03</v>
      </c>
      <c r="Y490">
        <f t="shared" si="364"/>
        <v>681.91</v>
      </c>
      <c r="AA490">
        <v>94798619</v>
      </c>
      <c r="AB490">
        <f t="shared" si="365"/>
        <v>3484.67</v>
      </c>
      <c r="AC490">
        <f t="shared" si="366"/>
        <v>3140</v>
      </c>
      <c r="AD490">
        <f t="shared" si="367"/>
        <v>51.73</v>
      </c>
      <c r="AE490">
        <f t="shared" si="368"/>
        <v>0</v>
      </c>
      <c r="AF490">
        <f t="shared" si="369"/>
        <v>292.94</v>
      </c>
      <c r="AG490">
        <f t="shared" si="370"/>
        <v>0</v>
      </c>
      <c r="AH490">
        <f t="shared" si="371"/>
        <v>36.299999999999997</v>
      </c>
      <c r="AI490">
        <f t="shared" si="372"/>
        <v>0</v>
      </c>
      <c r="AJ490">
        <f t="shared" si="373"/>
        <v>0</v>
      </c>
      <c r="AK490">
        <v>3484.67</v>
      </c>
      <c r="AL490">
        <v>3140</v>
      </c>
      <c r="AM490">
        <v>51.73</v>
      </c>
      <c r="AN490">
        <v>0</v>
      </c>
      <c r="AO490">
        <v>292.94</v>
      </c>
      <c r="AP490">
        <v>0</v>
      </c>
      <c r="AQ490">
        <v>36.299999999999997</v>
      </c>
      <c r="AR490">
        <v>0</v>
      </c>
      <c r="AS490">
        <v>0</v>
      </c>
      <c r="AT490">
        <v>108</v>
      </c>
      <c r="AU490">
        <v>55</v>
      </c>
      <c r="AV490">
        <v>1</v>
      </c>
      <c r="AW490">
        <v>1</v>
      </c>
      <c r="AZ490">
        <v>1</v>
      </c>
      <c r="BA490">
        <v>35.270000000000003</v>
      </c>
      <c r="BB490">
        <v>14.19</v>
      </c>
      <c r="BC490">
        <v>13.58</v>
      </c>
      <c r="BD490" t="s">
        <v>3</v>
      </c>
      <c r="BE490" t="s">
        <v>3</v>
      </c>
      <c r="BF490" t="s">
        <v>3</v>
      </c>
      <c r="BG490" t="s">
        <v>3</v>
      </c>
      <c r="BH490">
        <v>0</v>
      </c>
      <c r="BI490">
        <v>1</v>
      </c>
      <c r="BJ490" t="s">
        <v>602</v>
      </c>
      <c r="BM490">
        <v>10001</v>
      </c>
      <c r="BN490">
        <v>0</v>
      </c>
      <c r="BO490" t="s">
        <v>599</v>
      </c>
      <c r="BP490">
        <v>1</v>
      </c>
      <c r="BQ490">
        <v>2</v>
      </c>
      <c r="BR490">
        <v>0</v>
      </c>
      <c r="BS490">
        <v>35.270000000000003</v>
      </c>
      <c r="BT490">
        <v>1</v>
      </c>
      <c r="BU490">
        <v>1</v>
      </c>
      <c r="BV490">
        <v>1</v>
      </c>
      <c r="BW490">
        <v>1</v>
      </c>
      <c r="BX490">
        <v>1</v>
      </c>
      <c r="BY490" t="s">
        <v>3</v>
      </c>
      <c r="BZ490">
        <v>108</v>
      </c>
      <c r="CA490">
        <v>55</v>
      </c>
      <c r="CB490" t="s">
        <v>3</v>
      </c>
      <c r="CE490">
        <v>0</v>
      </c>
      <c r="CF490">
        <v>0</v>
      </c>
      <c r="CG490">
        <v>0</v>
      </c>
      <c r="CM490">
        <v>0</v>
      </c>
      <c r="CN490" t="s">
        <v>3</v>
      </c>
      <c r="CO490">
        <v>0</v>
      </c>
      <c r="CP490">
        <f t="shared" si="374"/>
        <v>6444.87</v>
      </c>
      <c r="CQ490">
        <f t="shared" si="375"/>
        <v>42641.2</v>
      </c>
      <c r="CR490">
        <f t="shared" si="376"/>
        <v>734.04869999999994</v>
      </c>
      <c r="CS490">
        <f t="shared" si="377"/>
        <v>0</v>
      </c>
      <c r="CT490">
        <f t="shared" si="378"/>
        <v>10331.9938</v>
      </c>
      <c r="CU490">
        <f t="shared" si="379"/>
        <v>0</v>
      </c>
      <c r="CV490">
        <f t="shared" si="380"/>
        <v>36.299999999999997</v>
      </c>
      <c r="CW490">
        <f t="shared" si="381"/>
        <v>0</v>
      </c>
      <c r="CX490">
        <f t="shared" si="382"/>
        <v>0</v>
      </c>
      <c r="CY490">
        <f>(((S490+R490)*AT490)/100)</f>
        <v>1339.0272</v>
      </c>
      <c r="CZ490">
        <f>(((S490+R490)*AU490)/100)</f>
        <v>681.91199999999992</v>
      </c>
      <c r="DC490" t="s">
        <v>3</v>
      </c>
      <c r="DD490" t="s">
        <v>3</v>
      </c>
      <c r="DE490" t="s">
        <v>3</v>
      </c>
      <c r="DF490" t="s">
        <v>3</v>
      </c>
      <c r="DG490" t="s">
        <v>3</v>
      </c>
      <c r="DH490" t="s">
        <v>3</v>
      </c>
      <c r="DI490" t="s">
        <v>3</v>
      </c>
      <c r="DJ490" t="s">
        <v>3</v>
      </c>
      <c r="DK490" t="s">
        <v>3</v>
      </c>
      <c r="DL490" t="s">
        <v>3</v>
      </c>
      <c r="DM490" t="s">
        <v>3</v>
      </c>
      <c r="DN490">
        <v>0</v>
      </c>
      <c r="DO490">
        <v>0</v>
      </c>
      <c r="DP490">
        <v>1</v>
      </c>
      <c r="DQ490">
        <v>1</v>
      </c>
      <c r="DU490">
        <v>1013</v>
      </c>
      <c r="DV490" t="s">
        <v>601</v>
      </c>
      <c r="DW490" t="s">
        <v>601</v>
      </c>
      <c r="DX490">
        <v>1</v>
      </c>
      <c r="DZ490" t="s">
        <v>3</v>
      </c>
      <c r="EA490" t="s">
        <v>3</v>
      </c>
      <c r="EB490" t="s">
        <v>3</v>
      </c>
      <c r="EC490" t="s">
        <v>3</v>
      </c>
      <c r="EE490">
        <v>92109399</v>
      </c>
      <c r="EF490">
        <v>2</v>
      </c>
      <c r="EG490" t="s">
        <v>21</v>
      </c>
      <c r="EH490">
        <v>10</v>
      </c>
      <c r="EI490" t="s">
        <v>594</v>
      </c>
      <c r="EJ490">
        <v>1</v>
      </c>
      <c r="EK490">
        <v>10001</v>
      </c>
      <c r="EL490" t="s">
        <v>594</v>
      </c>
      <c r="EM490" t="s">
        <v>595</v>
      </c>
      <c r="EO490" t="s">
        <v>3</v>
      </c>
      <c r="EQ490">
        <v>0</v>
      </c>
      <c r="ER490">
        <v>3484.67</v>
      </c>
      <c r="ES490">
        <v>3140</v>
      </c>
      <c r="ET490">
        <v>51.73</v>
      </c>
      <c r="EU490">
        <v>0</v>
      </c>
      <c r="EV490">
        <v>292.94</v>
      </c>
      <c r="EW490">
        <v>36.299999999999997</v>
      </c>
      <c r="EX490">
        <v>0</v>
      </c>
      <c r="EY490">
        <v>0</v>
      </c>
      <c r="FQ490">
        <v>0</v>
      </c>
      <c r="FR490">
        <f t="shared" si="383"/>
        <v>0</v>
      </c>
      <c r="FS490">
        <v>0</v>
      </c>
      <c r="FX490">
        <v>108</v>
      </c>
      <c r="FY490">
        <v>55</v>
      </c>
      <c r="GA490" t="s">
        <v>3</v>
      </c>
      <c r="GD490">
        <v>1</v>
      </c>
      <c r="GF490">
        <v>903797338</v>
      </c>
      <c r="GG490">
        <v>2</v>
      </c>
      <c r="GH490">
        <v>1</v>
      </c>
      <c r="GI490">
        <v>2</v>
      </c>
      <c r="GJ490">
        <v>0</v>
      </c>
      <c r="GK490">
        <v>0</v>
      </c>
      <c r="GL490">
        <f t="shared" si="384"/>
        <v>0</v>
      </c>
      <c r="GM490">
        <f t="shared" si="385"/>
        <v>8465.81</v>
      </c>
      <c r="GN490">
        <f t="shared" si="386"/>
        <v>8465.81</v>
      </c>
      <c r="GO490">
        <f t="shared" si="387"/>
        <v>0</v>
      </c>
      <c r="GP490">
        <f t="shared" si="388"/>
        <v>0</v>
      </c>
      <c r="GR490">
        <v>0</v>
      </c>
      <c r="GS490">
        <v>3</v>
      </c>
      <c r="GT490">
        <v>0</v>
      </c>
      <c r="GU490" t="s">
        <v>3</v>
      </c>
      <c r="GV490">
        <f t="shared" si="389"/>
        <v>0</v>
      </c>
      <c r="GW490">
        <v>1</v>
      </c>
      <c r="GX490">
        <f t="shared" si="390"/>
        <v>0</v>
      </c>
      <c r="HA490">
        <v>0</v>
      </c>
      <c r="HB490">
        <v>0</v>
      </c>
      <c r="HC490">
        <f t="shared" si="391"/>
        <v>0</v>
      </c>
      <c r="HE490" t="s">
        <v>3</v>
      </c>
      <c r="HF490" t="s">
        <v>3</v>
      </c>
      <c r="HM490" t="s">
        <v>3</v>
      </c>
      <c r="HN490" t="s">
        <v>596</v>
      </c>
      <c r="HO490" t="s">
        <v>597</v>
      </c>
      <c r="HP490" t="s">
        <v>594</v>
      </c>
      <c r="HQ490" t="s">
        <v>594</v>
      </c>
      <c r="IK490">
        <v>0</v>
      </c>
    </row>
    <row r="491" spans="1:245" x14ac:dyDescent="0.2">
      <c r="A491">
        <v>17</v>
      </c>
      <c r="B491">
        <v>1</v>
      </c>
      <c r="C491">
        <f>ROW(SmtRes!A491)</f>
        <v>491</v>
      </c>
      <c r="D491">
        <f>ROW(EtalonRes!A491)</f>
        <v>491</v>
      </c>
      <c r="E491" t="s">
        <v>603</v>
      </c>
      <c r="F491" t="s">
        <v>604</v>
      </c>
      <c r="G491" t="s">
        <v>605</v>
      </c>
      <c r="H491" t="s">
        <v>606</v>
      </c>
      <c r="I491">
        <f>ROUND(2.25/100,9)</f>
        <v>2.2499999999999999E-2</v>
      </c>
      <c r="J491">
        <v>0</v>
      </c>
      <c r="K491">
        <f>ROUND(2.25/100,9)</f>
        <v>2.2499999999999999E-2</v>
      </c>
      <c r="O491">
        <f t="shared" si="354"/>
        <v>3520.02</v>
      </c>
      <c r="P491">
        <f t="shared" si="355"/>
        <v>2890.41</v>
      </c>
      <c r="Q491">
        <f t="shared" si="356"/>
        <v>18.23</v>
      </c>
      <c r="R491">
        <f t="shared" si="357"/>
        <v>4.8</v>
      </c>
      <c r="S491">
        <f t="shared" si="358"/>
        <v>611.38</v>
      </c>
      <c r="T491">
        <f t="shared" si="359"/>
        <v>0</v>
      </c>
      <c r="U491">
        <f t="shared" si="360"/>
        <v>2.0441249999999997</v>
      </c>
      <c r="V491">
        <f t="shared" si="361"/>
        <v>1.125E-2</v>
      </c>
      <c r="W491">
        <f t="shared" si="362"/>
        <v>0</v>
      </c>
      <c r="X491">
        <f t="shared" si="363"/>
        <v>671.64</v>
      </c>
      <c r="Y491">
        <f t="shared" si="364"/>
        <v>351.22</v>
      </c>
      <c r="AA491">
        <v>94798619</v>
      </c>
      <c r="AB491">
        <f t="shared" si="365"/>
        <v>12943.45</v>
      </c>
      <c r="AC491">
        <f t="shared" si="366"/>
        <v>12107.71</v>
      </c>
      <c r="AD491">
        <f t="shared" si="367"/>
        <v>65.33</v>
      </c>
      <c r="AE491">
        <f t="shared" si="368"/>
        <v>6.05</v>
      </c>
      <c r="AF491">
        <f t="shared" si="369"/>
        <v>770.41</v>
      </c>
      <c r="AG491">
        <f t="shared" si="370"/>
        <v>0</v>
      </c>
      <c r="AH491">
        <f t="shared" si="371"/>
        <v>90.85</v>
      </c>
      <c r="AI491">
        <f t="shared" si="372"/>
        <v>0.5</v>
      </c>
      <c r="AJ491">
        <f t="shared" si="373"/>
        <v>0</v>
      </c>
      <c r="AK491">
        <v>12943.45</v>
      </c>
      <c r="AL491">
        <v>12107.71</v>
      </c>
      <c r="AM491">
        <v>65.33</v>
      </c>
      <c r="AN491">
        <v>6.05</v>
      </c>
      <c r="AO491">
        <v>770.41</v>
      </c>
      <c r="AP491">
        <v>0</v>
      </c>
      <c r="AQ491">
        <v>90.85</v>
      </c>
      <c r="AR491">
        <v>0.5</v>
      </c>
      <c r="AS491">
        <v>0</v>
      </c>
      <c r="AT491">
        <v>109</v>
      </c>
      <c r="AU491">
        <v>57</v>
      </c>
      <c r="AV491">
        <v>1</v>
      </c>
      <c r="AW491">
        <v>1</v>
      </c>
      <c r="AZ491">
        <v>1</v>
      </c>
      <c r="BA491">
        <v>35.270000000000003</v>
      </c>
      <c r="BB491">
        <v>12.4</v>
      </c>
      <c r="BC491">
        <v>10.61</v>
      </c>
      <c r="BD491" t="s">
        <v>3</v>
      </c>
      <c r="BE491" t="s">
        <v>3</v>
      </c>
      <c r="BF491" t="s">
        <v>3</v>
      </c>
      <c r="BG491" t="s">
        <v>3</v>
      </c>
      <c r="BH491">
        <v>0</v>
      </c>
      <c r="BI491">
        <v>1</v>
      </c>
      <c r="BJ491" t="s">
        <v>607</v>
      </c>
      <c r="BM491">
        <v>12001</v>
      </c>
      <c r="BN491">
        <v>0</v>
      </c>
      <c r="BO491" t="s">
        <v>604</v>
      </c>
      <c r="BP491">
        <v>1</v>
      </c>
      <c r="BQ491">
        <v>2</v>
      </c>
      <c r="BR491">
        <v>0</v>
      </c>
      <c r="BS491">
        <v>35.270000000000003</v>
      </c>
      <c r="BT491">
        <v>1</v>
      </c>
      <c r="BU491">
        <v>1</v>
      </c>
      <c r="BV491">
        <v>1</v>
      </c>
      <c r="BW491">
        <v>1</v>
      </c>
      <c r="BX491">
        <v>1</v>
      </c>
      <c r="BY491" t="s">
        <v>3</v>
      </c>
      <c r="BZ491">
        <v>109</v>
      </c>
      <c r="CA491">
        <v>57</v>
      </c>
      <c r="CB491" t="s">
        <v>3</v>
      </c>
      <c r="CE491">
        <v>0</v>
      </c>
      <c r="CF491">
        <v>0</v>
      </c>
      <c r="CG491">
        <v>0</v>
      </c>
      <c r="CM491">
        <v>0</v>
      </c>
      <c r="CN491" t="s">
        <v>3</v>
      </c>
      <c r="CO491">
        <v>0</v>
      </c>
      <c r="CP491">
        <f t="shared" si="374"/>
        <v>3520.02</v>
      </c>
      <c r="CQ491">
        <f t="shared" si="375"/>
        <v>128462.80309999999</v>
      </c>
      <c r="CR491">
        <f t="shared" si="376"/>
        <v>810.09199999999998</v>
      </c>
      <c r="CS491">
        <f t="shared" si="377"/>
        <v>213.38350000000003</v>
      </c>
      <c r="CT491">
        <f t="shared" si="378"/>
        <v>27172.360700000001</v>
      </c>
      <c r="CU491">
        <f t="shared" si="379"/>
        <v>0</v>
      </c>
      <c r="CV491">
        <f t="shared" si="380"/>
        <v>90.85</v>
      </c>
      <c r="CW491">
        <f t="shared" si="381"/>
        <v>0.5</v>
      </c>
      <c r="CX491">
        <f t="shared" si="382"/>
        <v>0</v>
      </c>
      <c r="CY491">
        <f>(((S491+R491)*AT491)/100)</f>
        <v>671.63619999999992</v>
      </c>
      <c r="CZ491">
        <f>(((S491+R491)*AU491)/100)</f>
        <v>351.22259999999994</v>
      </c>
      <c r="DC491" t="s">
        <v>3</v>
      </c>
      <c r="DD491" t="s">
        <v>3</v>
      </c>
      <c r="DE491" t="s">
        <v>3</v>
      </c>
      <c r="DF491" t="s">
        <v>3</v>
      </c>
      <c r="DG491" t="s">
        <v>3</v>
      </c>
      <c r="DH491" t="s">
        <v>3</v>
      </c>
      <c r="DI491" t="s">
        <v>3</v>
      </c>
      <c r="DJ491" t="s">
        <v>3</v>
      </c>
      <c r="DK491" t="s">
        <v>3</v>
      </c>
      <c r="DL491" t="s">
        <v>3</v>
      </c>
      <c r="DM491" t="s">
        <v>3</v>
      </c>
      <c r="DN491">
        <v>0</v>
      </c>
      <c r="DO491">
        <v>0</v>
      </c>
      <c r="DP491">
        <v>1</v>
      </c>
      <c r="DQ491">
        <v>1</v>
      </c>
      <c r="DU491">
        <v>1013</v>
      </c>
      <c r="DV491" t="s">
        <v>606</v>
      </c>
      <c r="DW491" t="s">
        <v>606</v>
      </c>
      <c r="DX491">
        <v>1</v>
      </c>
      <c r="DZ491" t="s">
        <v>3</v>
      </c>
      <c r="EA491" t="s">
        <v>3</v>
      </c>
      <c r="EB491" t="s">
        <v>3</v>
      </c>
      <c r="EC491" t="s">
        <v>3</v>
      </c>
      <c r="EE491">
        <v>92109401</v>
      </c>
      <c r="EF491">
        <v>2</v>
      </c>
      <c r="EG491" t="s">
        <v>21</v>
      </c>
      <c r="EH491">
        <v>12</v>
      </c>
      <c r="EI491" t="s">
        <v>608</v>
      </c>
      <c r="EJ491">
        <v>1</v>
      </c>
      <c r="EK491">
        <v>12001</v>
      </c>
      <c r="EL491" t="s">
        <v>608</v>
      </c>
      <c r="EM491" t="s">
        <v>609</v>
      </c>
      <c r="EO491" t="s">
        <v>3</v>
      </c>
      <c r="EQ491">
        <v>0</v>
      </c>
      <c r="ER491">
        <v>12943.45</v>
      </c>
      <c r="ES491">
        <v>12107.71</v>
      </c>
      <c r="ET491">
        <v>65.33</v>
      </c>
      <c r="EU491">
        <v>6.05</v>
      </c>
      <c r="EV491">
        <v>770.41</v>
      </c>
      <c r="EW491">
        <v>90.85</v>
      </c>
      <c r="EX491">
        <v>0.5</v>
      </c>
      <c r="EY491">
        <v>0</v>
      </c>
      <c r="FQ491">
        <v>0</v>
      </c>
      <c r="FR491">
        <f t="shared" si="383"/>
        <v>0</v>
      </c>
      <c r="FS491">
        <v>0</v>
      </c>
      <c r="FX491">
        <v>109</v>
      </c>
      <c r="FY491">
        <v>57</v>
      </c>
      <c r="GA491" t="s">
        <v>3</v>
      </c>
      <c r="GD491">
        <v>1</v>
      </c>
      <c r="GF491">
        <v>-24723406</v>
      </c>
      <c r="GG491">
        <v>2</v>
      </c>
      <c r="GH491">
        <v>1</v>
      </c>
      <c r="GI491">
        <v>2</v>
      </c>
      <c r="GJ491">
        <v>0</v>
      </c>
      <c r="GK491">
        <v>0</v>
      </c>
      <c r="GL491">
        <f t="shared" si="384"/>
        <v>0</v>
      </c>
      <c r="GM491">
        <f t="shared" si="385"/>
        <v>4542.88</v>
      </c>
      <c r="GN491">
        <f t="shared" si="386"/>
        <v>4542.88</v>
      </c>
      <c r="GO491">
        <f t="shared" si="387"/>
        <v>0</v>
      </c>
      <c r="GP491">
        <f t="shared" si="388"/>
        <v>0</v>
      </c>
      <c r="GR491">
        <v>0</v>
      </c>
      <c r="GS491">
        <v>3</v>
      </c>
      <c r="GT491">
        <v>0</v>
      </c>
      <c r="GU491" t="s">
        <v>3</v>
      </c>
      <c r="GV491">
        <f t="shared" si="389"/>
        <v>0</v>
      </c>
      <c r="GW491">
        <v>1</v>
      </c>
      <c r="GX491">
        <f t="shared" si="390"/>
        <v>0</v>
      </c>
      <c r="HA491">
        <v>0</v>
      </c>
      <c r="HB491">
        <v>0</v>
      </c>
      <c r="HC491">
        <f t="shared" si="391"/>
        <v>0</v>
      </c>
      <c r="HE491" t="s">
        <v>3</v>
      </c>
      <c r="HF491" t="s">
        <v>3</v>
      </c>
      <c r="HM491" t="s">
        <v>3</v>
      </c>
      <c r="HN491" t="s">
        <v>610</v>
      </c>
      <c r="HO491" t="s">
        <v>611</v>
      </c>
      <c r="HP491" t="s">
        <v>608</v>
      </c>
      <c r="HQ491" t="s">
        <v>608</v>
      </c>
      <c r="IK491">
        <v>0</v>
      </c>
    </row>
    <row r="492" spans="1:245" x14ac:dyDescent="0.2">
      <c r="A492">
        <v>17</v>
      </c>
      <c r="B492">
        <v>1</v>
      </c>
      <c r="C492">
        <f>ROW(SmtRes!A495)</f>
        <v>495</v>
      </c>
      <c r="D492">
        <f>ROW(EtalonRes!A495)</f>
        <v>495</v>
      </c>
      <c r="E492" t="s">
        <v>612</v>
      </c>
      <c r="F492" t="s">
        <v>613</v>
      </c>
      <c r="G492" t="s">
        <v>614</v>
      </c>
      <c r="H492" t="s">
        <v>615</v>
      </c>
      <c r="I492">
        <f>ROUND(2/100,9)</f>
        <v>0.02</v>
      </c>
      <c r="J492">
        <v>0</v>
      </c>
      <c r="K492">
        <f>ROUND(2/100,9)</f>
        <v>0.02</v>
      </c>
      <c r="O492">
        <f t="shared" si="354"/>
        <v>1032.6300000000001</v>
      </c>
      <c r="P492">
        <f t="shared" si="355"/>
        <v>478.98</v>
      </c>
      <c r="Q492">
        <f t="shared" si="356"/>
        <v>3.36</v>
      </c>
      <c r="R492">
        <f t="shared" si="357"/>
        <v>0</v>
      </c>
      <c r="S492">
        <f t="shared" si="358"/>
        <v>550.29</v>
      </c>
      <c r="T492">
        <f t="shared" si="359"/>
        <v>0</v>
      </c>
      <c r="U492">
        <f t="shared" si="360"/>
        <v>1.506</v>
      </c>
      <c r="V492">
        <f t="shared" si="361"/>
        <v>0</v>
      </c>
      <c r="W492">
        <f t="shared" si="362"/>
        <v>0</v>
      </c>
      <c r="X492">
        <f t="shared" si="363"/>
        <v>594.30999999999995</v>
      </c>
      <c r="Y492">
        <f t="shared" si="364"/>
        <v>302.66000000000003</v>
      </c>
      <c r="AA492">
        <v>94798619</v>
      </c>
      <c r="AB492">
        <f t="shared" si="365"/>
        <v>3494.2</v>
      </c>
      <c r="AC492">
        <f t="shared" si="366"/>
        <v>2700</v>
      </c>
      <c r="AD492">
        <f t="shared" si="367"/>
        <v>14.09</v>
      </c>
      <c r="AE492">
        <f t="shared" si="368"/>
        <v>0</v>
      </c>
      <c r="AF492">
        <f t="shared" si="369"/>
        <v>780.11</v>
      </c>
      <c r="AG492">
        <f t="shared" si="370"/>
        <v>0</v>
      </c>
      <c r="AH492">
        <f t="shared" si="371"/>
        <v>75.3</v>
      </c>
      <c r="AI492">
        <f t="shared" si="372"/>
        <v>0</v>
      </c>
      <c r="AJ492">
        <f t="shared" si="373"/>
        <v>0</v>
      </c>
      <c r="AK492">
        <v>3494.2</v>
      </c>
      <c r="AL492">
        <v>2700</v>
      </c>
      <c r="AM492">
        <v>14.09</v>
      </c>
      <c r="AN492">
        <v>0</v>
      </c>
      <c r="AO492">
        <v>780.11</v>
      </c>
      <c r="AP492">
        <v>0</v>
      </c>
      <c r="AQ492">
        <v>75.3</v>
      </c>
      <c r="AR492">
        <v>0</v>
      </c>
      <c r="AS492">
        <v>0</v>
      </c>
      <c r="AT492">
        <v>108</v>
      </c>
      <c r="AU492">
        <v>55</v>
      </c>
      <c r="AV492">
        <v>1</v>
      </c>
      <c r="AW492">
        <v>1</v>
      </c>
      <c r="AZ492">
        <v>1</v>
      </c>
      <c r="BA492">
        <v>35.270000000000003</v>
      </c>
      <c r="BB492">
        <v>11.94</v>
      </c>
      <c r="BC492">
        <v>8.8699999999999992</v>
      </c>
      <c r="BD492" t="s">
        <v>3</v>
      </c>
      <c r="BE492" t="s">
        <v>3</v>
      </c>
      <c r="BF492" t="s">
        <v>3</v>
      </c>
      <c r="BG492" t="s">
        <v>3</v>
      </c>
      <c r="BH492">
        <v>0</v>
      </c>
      <c r="BI492">
        <v>1</v>
      </c>
      <c r="BJ492" t="s">
        <v>616</v>
      </c>
      <c r="BM492">
        <v>10001</v>
      </c>
      <c r="BN492">
        <v>0</v>
      </c>
      <c r="BO492" t="s">
        <v>613</v>
      </c>
      <c r="BP492">
        <v>1</v>
      </c>
      <c r="BQ492">
        <v>2</v>
      </c>
      <c r="BR492">
        <v>0</v>
      </c>
      <c r="BS492">
        <v>35.270000000000003</v>
      </c>
      <c r="BT492">
        <v>1</v>
      </c>
      <c r="BU492">
        <v>1</v>
      </c>
      <c r="BV492">
        <v>1</v>
      </c>
      <c r="BW492">
        <v>1</v>
      </c>
      <c r="BX492">
        <v>1</v>
      </c>
      <c r="BY492" t="s">
        <v>3</v>
      </c>
      <c r="BZ492">
        <v>108</v>
      </c>
      <c r="CA492">
        <v>55</v>
      </c>
      <c r="CB492" t="s">
        <v>3</v>
      </c>
      <c r="CE492">
        <v>0</v>
      </c>
      <c r="CF492">
        <v>0</v>
      </c>
      <c r="CG492">
        <v>0</v>
      </c>
      <c r="CM492">
        <v>0</v>
      </c>
      <c r="CN492" t="s">
        <v>3</v>
      </c>
      <c r="CO492">
        <v>0</v>
      </c>
      <c r="CP492">
        <f t="shared" si="374"/>
        <v>1032.6300000000001</v>
      </c>
      <c r="CQ492">
        <f t="shared" si="375"/>
        <v>23948.999999999996</v>
      </c>
      <c r="CR492">
        <f t="shared" si="376"/>
        <v>168.2346</v>
      </c>
      <c r="CS492">
        <f t="shared" si="377"/>
        <v>0</v>
      </c>
      <c r="CT492">
        <f t="shared" si="378"/>
        <v>27514.479700000004</v>
      </c>
      <c r="CU492">
        <f t="shared" si="379"/>
        <v>0</v>
      </c>
      <c r="CV492">
        <f t="shared" si="380"/>
        <v>75.3</v>
      </c>
      <c r="CW492">
        <f t="shared" si="381"/>
        <v>0</v>
      </c>
      <c r="CX492">
        <f t="shared" si="382"/>
        <v>0</v>
      </c>
      <c r="CY492">
        <f>(((S492+R492)*AT492)/100)</f>
        <v>594.31319999999994</v>
      </c>
      <c r="CZ492">
        <f>(((S492+R492)*AU492)/100)</f>
        <v>302.65949999999998</v>
      </c>
      <c r="DC492" t="s">
        <v>3</v>
      </c>
      <c r="DD492" t="s">
        <v>3</v>
      </c>
      <c r="DE492" t="s">
        <v>3</v>
      </c>
      <c r="DF492" t="s">
        <v>3</v>
      </c>
      <c r="DG492" t="s">
        <v>3</v>
      </c>
      <c r="DH492" t="s">
        <v>3</v>
      </c>
      <c r="DI492" t="s">
        <v>3</v>
      </c>
      <c r="DJ492" t="s">
        <v>3</v>
      </c>
      <c r="DK492" t="s">
        <v>3</v>
      </c>
      <c r="DL492" t="s">
        <v>3</v>
      </c>
      <c r="DM492" t="s">
        <v>3</v>
      </c>
      <c r="DN492">
        <v>0</v>
      </c>
      <c r="DO492">
        <v>0</v>
      </c>
      <c r="DP492">
        <v>1</v>
      </c>
      <c r="DQ492">
        <v>1</v>
      </c>
      <c r="DU492">
        <v>1013</v>
      </c>
      <c r="DV492" t="s">
        <v>615</v>
      </c>
      <c r="DW492" t="s">
        <v>615</v>
      </c>
      <c r="DX492">
        <v>1</v>
      </c>
      <c r="DZ492" t="s">
        <v>3</v>
      </c>
      <c r="EA492" t="s">
        <v>3</v>
      </c>
      <c r="EB492" t="s">
        <v>3</v>
      </c>
      <c r="EC492" t="s">
        <v>3</v>
      </c>
      <c r="EE492">
        <v>92109399</v>
      </c>
      <c r="EF492">
        <v>2</v>
      </c>
      <c r="EG492" t="s">
        <v>21</v>
      </c>
      <c r="EH492">
        <v>10</v>
      </c>
      <c r="EI492" t="s">
        <v>594</v>
      </c>
      <c r="EJ492">
        <v>1</v>
      </c>
      <c r="EK492">
        <v>10001</v>
      </c>
      <c r="EL492" t="s">
        <v>594</v>
      </c>
      <c r="EM492" t="s">
        <v>595</v>
      </c>
      <c r="EO492" t="s">
        <v>3</v>
      </c>
      <c r="EQ492">
        <v>0</v>
      </c>
      <c r="ER492">
        <v>3494.2</v>
      </c>
      <c r="ES492">
        <v>2700</v>
      </c>
      <c r="ET492">
        <v>14.09</v>
      </c>
      <c r="EU492">
        <v>0</v>
      </c>
      <c r="EV492">
        <v>780.11</v>
      </c>
      <c r="EW492">
        <v>75.3</v>
      </c>
      <c r="EX492">
        <v>0</v>
      </c>
      <c r="EY492">
        <v>0</v>
      </c>
      <c r="FQ492">
        <v>0</v>
      </c>
      <c r="FR492">
        <f t="shared" si="383"/>
        <v>0</v>
      </c>
      <c r="FS492">
        <v>0</v>
      </c>
      <c r="FX492">
        <v>108</v>
      </c>
      <c r="FY492">
        <v>55</v>
      </c>
      <c r="GA492" t="s">
        <v>3</v>
      </c>
      <c r="GD492">
        <v>1</v>
      </c>
      <c r="GF492">
        <v>1875099117</v>
      </c>
      <c r="GG492">
        <v>2</v>
      </c>
      <c r="GH492">
        <v>1</v>
      </c>
      <c r="GI492">
        <v>2</v>
      </c>
      <c r="GJ492">
        <v>0</v>
      </c>
      <c r="GK492">
        <v>0</v>
      </c>
      <c r="GL492">
        <f t="shared" si="384"/>
        <v>0</v>
      </c>
      <c r="GM492">
        <f t="shared" si="385"/>
        <v>1929.6</v>
      </c>
      <c r="GN492">
        <f t="shared" si="386"/>
        <v>1929.6</v>
      </c>
      <c r="GO492">
        <f t="shared" si="387"/>
        <v>0</v>
      </c>
      <c r="GP492">
        <f t="shared" si="388"/>
        <v>0</v>
      </c>
      <c r="GR492">
        <v>0</v>
      </c>
      <c r="GS492">
        <v>3</v>
      </c>
      <c r="GT492">
        <v>0</v>
      </c>
      <c r="GU492" t="s">
        <v>3</v>
      </c>
      <c r="GV492">
        <f t="shared" si="389"/>
        <v>0</v>
      </c>
      <c r="GW492">
        <v>1</v>
      </c>
      <c r="GX492">
        <f t="shared" si="390"/>
        <v>0</v>
      </c>
      <c r="HA492">
        <v>0</v>
      </c>
      <c r="HB492">
        <v>0</v>
      </c>
      <c r="HC492">
        <f t="shared" si="391"/>
        <v>0</v>
      </c>
      <c r="HE492" t="s">
        <v>3</v>
      </c>
      <c r="HF492" t="s">
        <v>3</v>
      </c>
      <c r="HM492" t="s">
        <v>3</v>
      </c>
      <c r="HN492" t="s">
        <v>596</v>
      </c>
      <c r="HO492" t="s">
        <v>597</v>
      </c>
      <c r="HP492" t="s">
        <v>594</v>
      </c>
      <c r="HQ492" t="s">
        <v>594</v>
      </c>
      <c r="IK492">
        <v>0</v>
      </c>
    </row>
    <row r="493" spans="1:245" x14ac:dyDescent="0.2">
      <c r="A493">
        <v>17</v>
      </c>
      <c r="B493">
        <v>1</v>
      </c>
      <c r="C493">
        <f>ROW(SmtRes!A498)</f>
        <v>498</v>
      </c>
      <c r="D493">
        <f>ROW(EtalonRes!A498)</f>
        <v>498</v>
      </c>
      <c r="E493" t="s">
        <v>3</v>
      </c>
      <c r="F493" t="s">
        <v>617</v>
      </c>
      <c r="G493" t="s">
        <v>618</v>
      </c>
      <c r="H493" t="s">
        <v>619</v>
      </c>
      <c r="I493">
        <f>ROUND(2/100,9)</f>
        <v>0.02</v>
      </c>
      <c r="J493">
        <v>0</v>
      </c>
      <c r="K493">
        <f>ROUND(2/100,9)</f>
        <v>0.02</v>
      </c>
      <c r="O493">
        <f t="shared" si="354"/>
        <v>826.31</v>
      </c>
      <c r="P493">
        <f t="shared" si="355"/>
        <v>266.36</v>
      </c>
      <c r="Q493">
        <f t="shared" si="356"/>
        <v>0</v>
      </c>
      <c r="R493">
        <f t="shared" si="357"/>
        <v>0</v>
      </c>
      <c r="S493">
        <f t="shared" si="358"/>
        <v>559.95000000000005</v>
      </c>
      <c r="T493">
        <f t="shared" si="359"/>
        <v>0</v>
      </c>
      <c r="U493">
        <f t="shared" si="360"/>
        <v>1.992</v>
      </c>
      <c r="V493">
        <f t="shared" si="361"/>
        <v>0</v>
      </c>
      <c r="W493">
        <f t="shared" si="362"/>
        <v>0</v>
      </c>
      <c r="X493">
        <f t="shared" si="363"/>
        <v>503.96</v>
      </c>
      <c r="Y493">
        <f t="shared" si="364"/>
        <v>263.18</v>
      </c>
      <c r="AA493">
        <v>-1</v>
      </c>
      <c r="AB493">
        <f t="shared" si="365"/>
        <v>2265.39</v>
      </c>
      <c r="AC493">
        <f t="shared" si="366"/>
        <v>1471.58</v>
      </c>
      <c r="AD493">
        <f t="shared" si="367"/>
        <v>0</v>
      </c>
      <c r="AE493">
        <f t="shared" si="368"/>
        <v>0</v>
      </c>
      <c r="AF493">
        <f t="shared" si="369"/>
        <v>793.81</v>
      </c>
      <c r="AG493">
        <f t="shared" si="370"/>
        <v>0</v>
      </c>
      <c r="AH493">
        <f t="shared" si="371"/>
        <v>99.6</v>
      </c>
      <c r="AI493">
        <f t="shared" si="372"/>
        <v>0</v>
      </c>
      <c r="AJ493">
        <f t="shared" si="373"/>
        <v>0</v>
      </c>
      <c r="AK493">
        <v>2265.39</v>
      </c>
      <c r="AL493">
        <v>1471.58</v>
      </c>
      <c r="AM493">
        <v>0</v>
      </c>
      <c r="AN493">
        <v>0</v>
      </c>
      <c r="AO493">
        <v>793.81</v>
      </c>
      <c r="AP493">
        <v>0</v>
      </c>
      <c r="AQ493">
        <v>99.6</v>
      </c>
      <c r="AR493">
        <v>0</v>
      </c>
      <c r="AS493">
        <v>0</v>
      </c>
      <c r="AT493">
        <v>90</v>
      </c>
      <c r="AU493">
        <v>47</v>
      </c>
      <c r="AV493">
        <v>1</v>
      </c>
      <c r="AW493">
        <v>1</v>
      </c>
      <c r="AZ493">
        <v>1</v>
      </c>
      <c r="BA493">
        <v>35.270000000000003</v>
      </c>
      <c r="BB493">
        <v>1</v>
      </c>
      <c r="BC493">
        <v>9.0500000000000007</v>
      </c>
      <c r="BD493" t="s">
        <v>3</v>
      </c>
      <c r="BE493" t="s">
        <v>3</v>
      </c>
      <c r="BF493" t="s">
        <v>3</v>
      </c>
      <c r="BG493" t="s">
        <v>3</v>
      </c>
      <c r="BH493">
        <v>0</v>
      </c>
      <c r="BI493">
        <v>1</v>
      </c>
      <c r="BJ493" t="s">
        <v>620</v>
      </c>
      <c r="BM493">
        <v>56001</v>
      </c>
      <c r="BN493">
        <v>0</v>
      </c>
      <c r="BO493" t="s">
        <v>617</v>
      </c>
      <c r="BP493">
        <v>1</v>
      </c>
      <c r="BQ493">
        <v>6</v>
      </c>
      <c r="BR493">
        <v>0</v>
      </c>
      <c r="BS493">
        <v>35.270000000000003</v>
      </c>
      <c r="BT493">
        <v>1</v>
      </c>
      <c r="BU493">
        <v>1</v>
      </c>
      <c r="BV493">
        <v>1</v>
      </c>
      <c r="BW493">
        <v>1</v>
      </c>
      <c r="BX493">
        <v>1</v>
      </c>
      <c r="BY493" t="s">
        <v>3</v>
      </c>
      <c r="BZ493">
        <v>90</v>
      </c>
      <c r="CA493">
        <v>47</v>
      </c>
      <c r="CB493" t="s">
        <v>3</v>
      </c>
      <c r="CE493">
        <v>0</v>
      </c>
      <c r="CF493">
        <v>0</v>
      </c>
      <c r="CG493">
        <v>0</v>
      </c>
      <c r="CM493">
        <v>0</v>
      </c>
      <c r="CN493" t="s">
        <v>3</v>
      </c>
      <c r="CO493">
        <v>0</v>
      </c>
      <c r="CP493">
        <f t="shared" si="374"/>
        <v>826.31000000000006</v>
      </c>
      <c r="CQ493">
        <f t="shared" si="375"/>
        <v>13317.799000000001</v>
      </c>
      <c r="CR493">
        <f t="shared" si="376"/>
        <v>0</v>
      </c>
      <c r="CS493">
        <f t="shared" si="377"/>
        <v>0</v>
      </c>
      <c r="CT493">
        <f t="shared" si="378"/>
        <v>27997.6787</v>
      </c>
      <c r="CU493">
        <f t="shared" si="379"/>
        <v>0</v>
      </c>
      <c r="CV493">
        <f t="shared" si="380"/>
        <v>99.6</v>
      </c>
      <c r="CW493">
        <f t="shared" si="381"/>
        <v>0</v>
      </c>
      <c r="CX493">
        <f t="shared" si="382"/>
        <v>0</v>
      </c>
      <c r="CY493">
        <f>(((S493+R493)*AT493)/100)</f>
        <v>503.9550000000001</v>
      </c>
      <c r="CZ493">
        <f>(((S493+R493)*AU493)/100)</f>
        <v>263.17650000000003</v>
      </c>
      <c r="DC493" t="s">
        <v>3</v>
      </c>
      <c r="DD493" t="s">
        <v>3</v>
      </c>
      <c r="DE493" t="s">
        <v>3</v>
      </c>
      <c r="DF493" t="s">
        <v>3</v>
      </c>
      <c r="DG493" t="s">
        <v>3</v>
      </c>
      <c r="DH493" t="s">
        <v>3</v>
      </c>
      <c r="DI493" t="s">
        <v>3</v>
      </c>
      <c r="DJ493" t="s">
        <v>3</v>
      </c>
      <c r="DK493" t="s">
        <v>3</v>
      </c>
      <c r="DL493" t="s">
        <v>3</v>
      </c>
      <c r="DM493" t="s">
        <v>3</v>
      </c>
      <c r="DN493">
        <v>0</v>
      </c>
      <c r="DO493">
        <v>0</v>
      </c>
      <c r="DP493">
        <v>1</v>
      </c>
      <c r="DQ493">
        <v>1</v>
      </c>
      <c r="DU493">
        <v>1013</v>
      </c>
      <c r="DV493" t="s">
        <v>619</v>
      </c>
      <c r="DW493" t="s">
        <v>619</v>
      </c>
      <c r="DX493">
        <v>1</v>
      </c>
      <c r="DZ493" t="s">
        <v>3</v>
      </c>
      <c r="EA493" t="s">
        <v>3</v>
      </c>
      <c r="EB493" t="s">
        <v>3</v>
      </c>
      <c r="EC493" t="s">
        <v>3</v>
      </c>
      <c r="EE493">
        <v>92109476</v>
      </c>
      <c r="EF493">
        <v>6</v>
      </c>
      <c r="EG493" t="s">
        <v>621</v>
      </c>
      <c r="EH493">
        <v>90</v>
      </c>
      <c r="EI493" t="s">
        <v>622</v>
      </c>
      <c r="EJ493">
        <v>1</v>
      </c>
      <c r="EK493">
        <v>56001</v>
      </c>
      <c r="EL493" t="s">
        <v>622</v>
      </c>
      <c r="EM493" t="s">
        <v>623</v>
      </c>
      <c r="EO493" t="s">
        <v>3</v>
      </c>
      <c r="EQ493">
        <v>1024</v>
      </c>
      <c r="ER493">
        <v>2265.39</v>
      </c>
      <c r="ES493">
        <v>1471.58</v>
      </c>
      <c r="ET493">
        <v>0</v>
      </c>
      <c r="EU493">
        <v>0</v>
      </c>
      <c r="EV493">
        <v>793.81</v>
      </c>
      <c r="EW493">
        <v>99.6</v>
      </c>
      <c r="EX493">
        <v>0</v>
      </c>
      <c r="EY493">
        <v>0</v>
      </c>
      <c r="FQ493">
        <v>0</v>
      </c>
      <c r="FR493">
        <f t="shared" si="383"/>
        <v>0</v>
      </c>
      <c r="FS493">
        <v>0</v>
      </c>
      <c r="FX493">
        <v>90</v>
      </c>
      <c r="FY493">
        <v>47</v>
      </c>
      <c r="GA493" t="s">
        <v>3</v>
      </c>
      <c r="GD493">
        <v>1</v>
      </c>
      <c r="GF493">
        <v>434685153</v>
      </c>
      <c r="GG493">
        <v>2</v>
      </c>
      <c r="GH493">
        <v>1</v>
      </c>
      <c r="GI493">
        <v>2</v>
      </c>
      <c r="GJ493">
        <v>0</v>
      </c>
      <c r="GK493">
        <v>0</v>
      </c>
      <c r="GL493">
        <f t="shared" si="384"/>
        <v>0</v>
      </c>
      <c r="GM493">
        <f t="shared" si="385"/>
        <v>1593.45</v>
      </c>
      <c r="GN493">
        <f t="shared" si="386"/>
        <v>1593.45</v>
      </c>
      <c r="GO493">
        <f t="shared" si="387"/>
        <v>0</v>
      </c>
      <c r="GP493">
        <f t="shared" si="388"/>
        <v>0</v>
      </c>
      <c r="GR493">
        <v>0</v>
      </c>
      <c r="GS493">
        <v>3</v>
      </c>
      <c r="GT493">
        <v>0</v>
      </c>
      <c r="GU493" t="s">
        <v>3</v>
      </c>
      <c r="GV493">
        <f t="shared" si="389"/>
        <v>0</v>
      </c>
      <c r="GW493">
        <v>1</v>
      </c>
      <c r="GX493">
        <f t="shared" si="390"/>
        <v>0</v>
      </c>
      <c r="HA493">
        <v>0</v>
      </c>
      <c r="HB493">
        <v>0</v>
      </c>
      <c r="HC493">
        <f t="shared" si="391"/>
        <v>0</v>
      </c>
      <c r="HE493" t="s">
        <v>3</v>
      </c>
      <c r="HF493" t="s">
        <v>3</v>
      </c>
      <c r="HM493" t="s">
        <v>3</v>
      </c>
      <c r="HN493" t="s">
        <v>624</v>
      </c>
      <c r="HO493" t="s">
        <v>625</v>
      </c>
      <c r="HP493" t="s">
        <v>622</v>
      </c>
      <c r="HQ493" t="s">
        <v>622</v>
      </c>
      <c r="IK493">
        <v>0</v>
      </c>
    </row>
    <row r="495" spans="1:245" x14ac:dyDescent="0.2">
      <c r="A495" s="2">
        <v>51</v>
      </c>
      <c r="B495" s="2">
        <f>B476</f>
        <v>1</v>
      </c>
      <c r="C495" s="2">
        <f>A476</f>
        <v>4</v>
      </c>
      <c r="D495" s="2">
        <f>ROW(A476)</f>
        <v>476</v>
      </c>
      <c r="E495" s="2"/>
      <c r="F495" s="2" t="str">
        <f>IF(F476&lt;&gt;"",F476,"")</f>
        <v>Новый раздел</v>
      </c>
      <c r="G495" s="2" t="str">
        <f>IF(G476&lt;&gt;"",G476,"")</f>
        <v>Туалет</v>
      </c>
      <c r="H495" s="2">
        <v>0</v>
      </c>
      <c r="I495" s="2"/>
      <c r="J495" s="2"/>
      <c r="K495" s="2"/>
      <c r="L495" s="2"/>
      <c r="M495" s="2"/>
      <c r="N495" s="2"/>
      <c r="O495" s="2">
        <f t="shared" ref="O495:T495" si="392">ROUND(AB495,2)</f>
        <v>52744.36</v>
      </c>
      <c r="P495" s="2">
        <f t="shared" si="392"/>
        <v>41959.01</v>
      </c>
      <c r="Q495" s="2">
        <f t="shared" si="392"/>
        <v>1840.27</v>
      </c>
      <c r="R495" s="2">
        <f t="shared" si="392"/>
        <v>277</v>
      </c>
      <c r="S495" s="2">
        <f t="shared" si="392"/>
        <v>8945.08</v>
      </c>
      <c r="T495" s="2">
        <f t="shared" si="392"/>
        <v>0</v>
      </c>
      <c r="U495" s="2">
        <f>AH495</f>
        <v>31.251749000000004</v>
      </c>
      <c r="V495" s="2">
        <f>AI495</f>
        <v>0.683674</v>
      </c>
      <c r="W495" s="2">
        <f>ROUND(AJ495,2)</f>
        <v>0</v>
      </c>
      <c r="X495" s="2">
        <f>ROUND(AK495,2)</f>
        <v>10088.030000000001</v>
      </c>
      <c r="Y495" s="2">
        <f>ROUND(AL495,2)</f>
        <v>5362.92</v>
      </c>
      <c r="Z495" s="2"/>
      <c r="AA495" s="2"/>
      <c r="AB495" s="2">
        <f>ROUND(SUMIF(AA480:AA493,"=94798619",O480:O493),2)</f>
        <v>52744.36</v>
      </c>
      <c r="AC495" s="2">
        <f>ROUND(SUMIF(AA480:AA493,"=94798619",P480:P493),2)</f>
        <v>41959.01</v>
      </c>
      <c r="AD495" s="2">
        <f>ROUND(SUMIF(AA480:AA493,"=94798619",Q480:Q493),2)</f>
        <v>1840.27</v>
      </c>
      <c r="AE495" s="2">
        <f>ROUND(SUMIF(AA480:AA493,"=94798619",R480:R493),2)</f>
        <v>277</v>
      </c>
      <c r="AF495" s="2">
        <f>ROUND(SUMIF(AA480:AA493,"=94798619",S480:S493),2)</f>
        <v>8945.08</v>
      </c>
      <c r="AG495" s="2">
        <f>ROUND(SUMIF(AA480:AA493,"=94798619",T480:T493),2)</f>
        <v>0</v>
      </c>
      <c r="AH495" s="2">
        <f>SUMIF(AA480:AA493,"=94798619",U480:U493)</f>
        <v>31.251749000000004</v>
      </c>
      <c r="AI495" s="2">
        <f>SUMIF(AA480:AA493,"=94798619",V480:V493)</f>
        <v>0.683674</v>
      </c>
      <c r="AJ495" s="2">
        <f>ROUND(SUMIF(AA480:AA493,"=94798619",W480:W493),2)</f>
        <v>0</v>
      </c>
      <c r="AK495" s="2">
        <f>ROUND(SUMIF(AA480:AA493,"=94798619",X480:X493),2)</f>
        <v>10088.030000000001</v>
      </c>
      <c r="AL495" s="2">
        <f>ROUND(SUMIF(AA480:AA493,"=94798619",Y480:Y493),2)</f>
        <v>5362.92</v>
      </c>
      <c r="AM495" s="2"/>
      <c r="AN495" s="2"/>
      <c r="AO495" s="2">
        <f t="shared" ref="AO495:BD495" si="393">ROUND(BX495,2)</f>
        <v>0</v>
      </c>
      <c r="AP495" s="2">
        <f t="shared" si="393"/>
        <v>0</v>
      </c>
      <c r="AQ495" s="2">
        <f t="shared" si="393"/>
        <v>0</v>
      </c>
      <c r="AR495" s="2">
        <f t="shared" si="393"/>
        <v>68195.31</v>
      </c>
      <c r="AS495" s="2">
        <f t="shared" si="393"/>
        <v>68195.31</v>
      </c>
      <c r="AT495" s="2">
        <f t="shared" si="393"/>
        <v>0</v>
      </c>
      <c r="AU495" s="2">
        <f t="shared" si="393"/>
        <v>0</v>
      </c>
      <c r="AV495" s="2">
        <f t="shared" si="393"/>
        <v>41959.01</v>
      </c>
      <c r="AW495" s="2">
        <f t="shared" si="393"/>
        <v>41959.01</v>
      </c>
      <c r="AX495" s="2">
        <f t="shared" si="393"/>
        <v>0</v>
      </c>
      <c r="AY495" s="2">
        <f t="shared" si="393"/>
        <v>41959.01</v>
      </c>
      <c r="AZ495" s="2">
        <f t="shared" si="393"/>
        <v>0</v>
      </c>
      <c r="BA495" s="2">
        <f t="shared" si="393"/>
        <v>0</v>
      </c>
      <c r="BB495" s="2">
        <f t="shared" si="393"/>
        <v>0</v>
      </c>
      <c r="BC495" s="2">
        <f t="shared" si="393"/>
        <v>0</v>
      </c>
      <c r="BD495" s="2">
        <f t="shared" si="393"/>
        <v>0</v>
      </c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>
        <f>ROUND(SUMIF(AA480:AA493,"=94798619",FQ480:FQ493),2)</f>
        <v>0</v>
      </c>
      <c r="BY495" s="2">
        <f>ROUND(SUMIF(AA480:AA493,"=94798619",FR480:FR493),2)</f>
        <v>0</v>
      </c>
      <c r="BZ495" s="2">
        <f>ROUND(SUMIF(AA480:AA493,"=94798619",GL480:GL493),2)</f>
        <v>0</v>
      </c>
      <c r="CA495" s="2">
        <f>ROUND(SUMIF(AA480:AA493,"=94798619",GM480:GM493),2)</f>
        <v>68195.31</v>
      </c>
      <c r="CB495" s="2">
        <f>ROUND(SUMIF(AA480:AA493,"=94798619",GN480:GN493),2)</f>
        <v>68195.31</v>
      </c>
      <c r="CC495" s="2">
        <f>ROUND(SUMIF(AA480:AA493,"=94798619",GO480:GO493),2)</f>
        <v>0</v>
      </c>
      <c r="CD495" s="2">
        <f>ROUND(SUMIF(AA480:AA493,"=94798619",GP480:GP493),2)</f>
        <v>0</v>
      </c>
      <c r="CE495" s="2">
        <f>AC495-BX495</f>
        <v>41959.01</v>
      </c>
      <c r="CF495" s="2">
        <f>AC495-BY495</f>
        <v>41959.01</v>
      </c>
      <c r="CG495" s="2">
        <f>BX495-BZ495</f>
        <v>0</v>
      </c>
      <c r="CH495" s="2">
        <f>AC495-BX495-BY495+BZ495</f>
        <v>41959.01</v>
      </c>
      <c r="CI495" s="2">
        <f>BY495-BZ495</f>
        <v>0</v>
      </c>
      <c r="CJ495" s="2">
        <f>ROUND(SUMIF(AA480:AA493,"=94798619",GX480:GX493),2)</f>
        <v>0</v>
      </c>
      <c r="CK495" s="2">
        <f>ROUND(SUMIF(AA480:AA493,"=94798619",GY480:GY493),2)</f>
        <v>0</v>
      </c>
      <c r="CL495" s="2">
        <f>ROUND(SUMIF(AA480:AA493,"=94798619",GZ480:GZ493),2)</f>
        <v>0</v>
      </c>
      <c r="CM495" s="2">
        <f>ROUND(SUMIF(AA480:AA493,"=94798619",HD480:HD493),2)</f>
        <v>0</v>
      </c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>
        <v>0</v>
      </c>
    </row>
    <row r="497" spans="1:28" x14ac:dyDescent="0.2">
      <c r="A497" s="4">
        <v>50</v>
      </c>
      <c r="B497" s="4">
        <v>0</v>
      </c>
      <c r="C497" s="4">
        <v>0</v>
      </c>
      <c r="D497" s="4">
        <v>1</v>
      </c>
      <c r="E497" s="4">
        <v>201</v>
      </c>
      <c r="F497" s="4">
        <f>ROUND(Source!O495,O497)</f>
        <v>52744.36</v>
      </c>
      <c r="G497" s="4" t="s">
        <v>82</v>
      </c>
      <c r="H497" s="4" t="s">
        <v>83</v>
      </c>
      <c r="I497" s="4"/>
      <c r="J497" s="4"/>
      <c r="K497" s="4">
        <v>201</v>
      </c>
      <c r="L497" s="4">
        <v>1</v>
      </c>
      <c r="M497" s="4">
        <v>3</v>
      </c>
      <c r="N497" s="4" t="s">
        <v>3</v>
      </c>
      <c r="O497" s="4">
        <v>2</v>
      </c>
      <c r="P497" s="4"/>
      <c r="Q497" s="4"/>
      <c r="R497" s="4"/>
      <c r="S497" s="4"/>
      <c r="T497" s="4"/>
      <c r="U497" s="4"/>
      <c r="V497" s="4"/>
      <c r="W497" s="4">
        <v>52744.36</v>
      </c>
      <c r="X497" s="4">
        <v>1</v>
      </c>
      <c r="Y497" s="4">
        <v>52744.36</v>
      </c>
      <c r="Z497" s="4"/>
      <c r="AA497" s="4"/>
      <c r="AB497" s="4"/>
    </row>
    <row r="498" spans="1:28" x14ac:dyDescent="0.2">
      <c r="A498" s="4">
        <v>50</v>
      </c>
      <c r="B498" s="4">
        <v>0</v>
      </c>
      <c r="C498" s="4">
        <v>0</v>
      </c>
      <c r="D498" s="4">
        <v>1</v>
      </c>
      <c r="E498" s="4">
        <v>202</v>
      </c>
      <c r="F498" s="4">
        <f>ROUND(Source!P495,O498)</f>
        <v>41959.01</v>
      </c>
      <c r="G498" s="4" t="s">
        <v>84</v>
      </c>
      <c r="H498" s="4" t="s">
        <v>85</v>
      </c>
      <c r="I498" s="4"/>
      <c r="J498" s="4"/>
      <c r="K498" s="4">
        <v>202</v>
      </c>
      <c r="L498" s="4">
        <v>2</v>
      </c>
      <c r="M498" s="4">
        <v>3</v>
      </c>
      <c r="N498" s="4" t="s">
        <v>3</v>
      </c>
      <c r="O498" s="4">
        <v>2</v>
      </c>
      <c r="P498" s="4"/>
      <c r="Q498" s="4"/>
      <c r="R498" s="4"/>
      <c r="S498" s="4"/>
      <c r="T498" s="4"/>
      <c r="U498" s="4"/>
      <c r="V498" s="4"/>
      <c r="W498" s="4">
        <v>41959.01</v>
      </c>
      <c r="X498" s="4">
        <v>1</v>
      </c>
      <c r="Y498" s="4">
        <v>41959.01</v>
      </c>
      <c r="Z498" s="4"/>
      <c r="AA498" s="4"/>
      <c r="AB498" s="4"/>
    </row>
    <row r="499" spans="1:28" x14ac:dyDescent="0.2">
      <c r="A499" s="4">
        <v>50</v>
      </c>
      <c r="B499" s="4">
        <v>0</v>
      </c>
      <c r="C499" s="4">
        <v>0</v>
      </c>
      <c r="D499" s="4">
        <v>1</v>
      </c>
      <c r="E499" s="4">
        <v>222</v>
      </c>
      <c r="F499" s="4">
        <f>ROUND(Source!AO495,O499)</f>
        <v>0</v>
      </c>
      <c r="G499" s="4" t="s">
        <v>86</v>
      </c>
      <c r="H499" s="4" t="s">
        <v>87</v>
      </c>
      <c r="I499" s="4"/>
      <c r="J499" s="4"/>
      <c r="K499" s="4">
        <v>222</v>
      </c>
      <c r="L499" s="4">
        <v>3</v>
      </c>
      <c r="M499" s="4">
        <v>3</v>
      </c>
      <c r="N499" s="4" t="s">
        <v>3</v>
      </c>
      <c r="O499" s="4">
        <v>2</v>
      </c>
      <c r="P499" s="4"/>
      <c r="Q499" s="4"/>
      <c r="R499" s="4"/>
      <c r="S499" s="4"/>
      <c r="T499" s="4"/>
      <c r="U499" s="4"/>
      <c r="V499" s="4"/>
      <c r="W499" s="4">
        <v>0</v>
      </c>
      <c r="X499" s="4">
        <v>1</v>
      </c>
      <c r="Y499" s="4">
        <v>0</v>
      </c>
      <c r="Z499" s="4"/>
      <c r="AA499" s="4"/>
      <c r="AB499" s="4"/>
    </row>
    <row r="500" spans="1:28" x14ac:dyDescent="0.2">
      <c r="A500" s="4">
        <v>50</v>
      </c>
      <c r="B500" s="4">
        <v>0</v>
      </c>
      <c r="C500" s="4">
        <v>0</v>
      </c>
      <c r="D500" s="4">
        <v>1</v>
      </c>
      <c r="E500" s="4">
        <v>225</v>
      </c>
      <c r="F500" s="4">
        <f>ROUND(Source!AV495,O500)</f>
        <v>41959.01</v>
      </c>
      <c r="G500" s="4" t="s">
        <v>88</v>
      </c>
      <c r="H500" s="4" t="s">
        <v>89</v>
      </c>
      <c r="I500" s="4"/>
      <c r="J500" s="4"/>
      <c r="K500" s="4">
        <v>225</v>
      </c>
      <c r="L500" s="4">
        <v>4</v>
      </c>
      <c r="M500" s="4">
        <v>3</v>
      </c>
      <c r="N500" s="4" t="s">
        <v>3</v>
      </c>
      <c r="O500" s="4">
        <v>2</v>
      </c>
      <c r="P500" s="4"/>
      <c r="Q500" s="4"/>
      <c r="R500" s="4"/>
      <c r="S500" s="4"/>
      <c r="T500" s="4"/>
      <c r="U500" s="4"/>
      <c r="V500" s="4"/>
      <c r="W500" s="4">
        <v>41959.01</v>
      </c>
      <c r="X500" s="4">
        <v>1</v>
      </c>
      <c r="Y500" s="4">
        <v>41959.01</v>
      </c>
      <c r="Z500" s="4"/>
      <c r="AA500" s="4"/>
      <c r="AB500" s="4"/>
    </row>
    <row r="501" spans="1:28" x14ac:dyDescent="0.2">
      <c r="A501" s="4">
        <v>50</v>
      </c>
      <c r="B501" s="4">
        <v>0</v>
      </c>
      <c r="C501" s="4">
        <v>0</v>
      </c>
      <c r="D501" s="4">
        <v>1</v>
      </c>
      <c r="E501" s="4">
        <v>226</v>
      </c>
      <c r="F501" s="4">
        <f>ROUND(Source!AW495,O501)</f>
        <v>41959.01</v>
      </c>
      <c r="G501" s="4" t="s">
        <v>90</v>
      </c>
      <c r="H501" s="4" t="s">
        <v>91</v>
      </c>
      <c r="I501" s="4"/>
      <c r="J501" s="4"/>
      <c r="K501" s="4">
        <v>226</v>
      </c>
      <c r="L501" s="4">
        <v>5</v>
      </c>
      <c r="M501" s="4">
        <v>3</v>
      </c>
      <c r="N501" s="4" t="s">
        <v>3</v>
      </c>
      <c r="O501" s="4">
        <v>2</v>
      </c>
      <c r="P501" s="4"/>
      <c r="Q501" s="4"/>
      <c r="R501" s="4"/>
      <c r="S501" s="4"/>
      <c r="T501" s="4"/>
      <c r="U501" s="4"/>
      <c r="V501" s="4"/>
      <c r="W501" s="4">
        <v>41959.01</v>
      </c>
      <c r="X501" s="4">
        <v>1</v>
      </c>
      <c r="Y501" s="4">
        <v>41959.01</v>
      </c>
      <c r="Z501" s="4"/>
      <c r="AA501" s="4"/>
      <c r="AB501" s="4"/>
    </row>
    <row r="502" spans="1:28" x14ac:dyDescent="0.2">
      <c r="A502" s="4">
        <v>50</v>
      </c>
      <c r="B502" s="4">
        <v>0</v>
      </c>
      <c r="C502" s="4">
        <v>0</v>
      </c>
      <c r="D502" s="4">
        <v>1</v>
      </c>
      <c r="E502" s="4">
        <v>227</v>
      </c>
      <c r="F502" s="4">
        <f>ROUND(Source!AX495,O502)</f>
        <v>0</v>
      </c>
      <c r="G502" s="4" t="s">
        <v>92</v>
      </c>
      <c r="H502" s="4" t="s">
        <v>93</v>
      </c>
      <c r="I502" s="4"/>
      <c r="J502" s="4"/>
      <c r="K502" s="4">
        <v>227</v>
      </c>
      <c r="L502" s="4">
        <v>6</v>
      </c>
      <c r="M502" s="4">
        <v>3</v>
      </c>
      <c r="N502" s="4" t="s">
        <v>3</v>
      </c>
      <c r="O502" s="4">
        <v>2</v>
      </c>
      <c r="P502" s="4"/>
      <c r="Q502" s="4"/>
      <c r="R502" s="4"/>
      <c r="S502" s="4"/>
      <c r="T502" s="4"/>
      <c r="U502" s="4"/>
      <c r="V502" s="4"/>
      <c r="W502" s="4">
        <v>0</v>
      </c>
      <c r="X502" s="4">
        <v>1</v>
      </c>
      <c r="Y502" s="4">
        <v>0</v>
      </c>
      <c r="Z502" s="4"/>
      <c r="AA502" s="4"/>
      <c r="AB502" s="4"/>
    </row>
    <row r="503" spans="1:28" x14ac:dyDescent="0.2">
      <c r="A503" s="4">
        <v>50</v>
      </c>
      <c r="B503" s="4">
        <v>0</v>
      </c>
      <c r="C503" s="4">
        <v>0</v>
      </c>
      <c r="D503" s="4">
        <v>1</v>
      </c>
      <c r="E503" s="4">
        <v>228</v>
      </c>
      <c r="F503" s="4">
        <f>ROUND(Source!AY495,O503)</f>
        <v>41959.01</v>
      </c>
      <c r="G503" s="4" t="s">
        <v>94</v>
      </c>
      <c r="H503" s="4" t="s">
        <v>95</v>
      </c>
      <c r="I503" s="4"/>
      <c r="J503" s="4"/>
      <c r="K503" s="4">
        <v>228</v>
      </c>
      <c r="L503" s="4">
        <v>7</v>
      </c>
      <c r="M503" s="4">
        <v>3</v>
      </c>
      <c r="N503" s="4" t="s">
        <v>3</v>
      </c>
      <c r="O503" s="4">
        <v>2</v>
      </c>
      <c r="P503" s="4"/>
      <c r="Q503" s="4"/>
      <c r="R503" s="4"/>
      <c r="S503" s="4"/>
      <c r="T503" s="4"/>
      <c r="U503" s="4"/>
      <c r="V503" s="4"/>
      <c r="W503" s="4">
        <v>41959.01</v>
      </c>
      <c r="X503" s="4">
        <v>1</v>
      </c>
      <c r="Y503" s="4">
        <v>41959.01</v>
      </c>
      <c r="Z503" s="4"/>
      <c r="AA503" s="4"/>
      <c r="AB503" s="4"/>
    </row>
    <row r="504" spans="1:28" x14ac:dyDescent="0.2">
      <c r="A504" s="4">
        <v>50</v>
      </c>
      <c r="B504" s="4">
        <v>0</v>
      </c>
      <c r="C504" s="4">
        <v>0</v>
      </c>
      <c r="D504" s="4">
        <v>1</v>
      </c>
      <c r="E504" s="4">
        <v>216</v>
      </c>
      <c r="F504" s="4">
        <f>ROUND(Source!AP495,O504)</f>
        <v>0</v>
      </c>
      <c r="G504" s="4" t="s">
        <v>96</v>
      </c>
      <c r="H504" s="4" t="s">
        <v>97</v>
      </c>
      <c r="I504" s="4"/>
      <c r="J504" s="4"/>
      <c r="K504" s="4">
        <v>216</v>
      </c>
      <c r="L504" s="4">
        <v>8</v>
      </c>
      <c r="M504" s="4">
        <v>3</v>
      </c>
      <c r="N504" s="4" t="s">
        <v>3</v>
      </c>
      <c r="O504" s="4">
        <v>2</v>
      </c>
      <c r="P504" s="4"/>
      <c r="Q504" s="4"/>
      <c r="R504" s="4"/>
      <c r="S504" s="4"/>
      <c r="T504" s="4"/>
      <c r="U504" s="4"/>
      <c r="V504" s="4"/>
      <c r="W504" s="4">
        <v>0</v>
      </c>
      <c r="X504" s="4">
        <v>1</v>
      </c>
      <c r="Y504" s="4">
        <v>0</v>
      </c>
      <c r="Z504" s="4"/>
      <c r="AA504" s="4"/>
      <c r="AB504" s="4"/>
    </row>
    <row r="505" spans="1:28" x14ac:dyDescent="0.2">
      <c r="A505" s="4">
        <v>50</v>
      </c>
      <c r="B505" s="4">
        <v>0</v>
      </c>
      <c r="C505" s="4">
        <v>0</v>
      </c>
      <c r="D505" s="4">
        <v>1</v>
      </c>
      <c r="E505" s="4">
        <v>223</v>
      </c>
      <c r="F505" s="4">
        <f>ROUND(Source!AQ495,O505)</f>
        <v>0</v>
      </c>
      <c r="G505" s="4" t="s">
        <v>98</v>
      </c>
      <c r="H505" s="4" t="s">
        <v>99</v>
      </c>
      <c r="I505" s="4"/>
      <c r="J505" s="4"/>
      <c r="K505" s="4">
        <v>223</v>
      </c>
      <c r="L505" s="4">
        <v>9</v>
      </c>
      <c r="M505" s="4">
        <v>3</v>
      </c>
      <c r="N505" s="4" t="s">
        <v>3</v>
      </c>
      <c r="O505" s="4">
        <v>2</v>
      </c>
      <c r="P505" s="4"/>
      <c r="Q505" s="4"/>
      <c r="R505" s="4"/>
      <c r="S505" s="4"/>
      <c r="T505" s="4"/>
      <c r="U505" s="4"/>
      <c r="V505" s="4"/>
      <c r="W505" s="4">
        <v>0</v>
      </c>
      <c r="X505" s="4">
        <v>1</v>
      </c>
      <c r="Y505" s="4">
        <v>0</v>
      </c>
      <c r="Z505" s="4"/>
      <c r="AA505" s="4"/>
      <c r="AB505" s="4"/>
    </row>
    <row r="506" spans="1:28" x14ac:dyDescent="0.2">
      <c r="A506" s="4">
        <v>50</v>
      </c>
      <c r="B506" s="4">
        <v>0</v>
      </c>
      <c r="C506" s="4">
        <v>0</v>
      </c>
      <c r="D506" s="4">
        <v>1</v>
      </c>
      <c r="E506" s="4">
        <v>229</v>
      </c>
      <c r="F506" s="4">
        <f>ROUND(Source!AZ495,O506)</f>
        <v>0</v>
      </c>
      <c r="G506" s="4" t="s">
        <v>100</v>
      </c>
      <c r="H506" s="4" t="s">
        <v>101</v>
      </c>
      <c r="I506" s="4"/>
      <c r="J506" s="4"/>
      <c r="K506" s="4">
        <v>229</v>
      </c>
      <c r="L506" s="4">
        <v>10</v>
      </c>
      <c r="M506" s="4">
        <v>3</v>
      </c>
      <c r="N506" s="4" t="s">
        <v>3</v>
      </c>
      <c r="O506" s="4">
        <v>2</v>
      </c>
      <c r="P506" s="4"/>
      <c r="Q506" s="4"/>
      <c r="R506" s="4"/>
      <c r="S506" s="4"/>
      <c r="T506" s="4"/>
      <c r="U506" s="4"/>
      <c r="V506" s="4"/>
      <c r="W506" s="4">
        <v>0</v>
      </c>
      <c r="X506" s="4">
        <v>1</v>
      </c>
      <c r="Y506" s="4">
        <v>0</v>
      </c>
      <c r="Z506" s="4"/>
      <c r="AA506" s="4"/>
      <c r="AB506" s="4"/>
    </row>
    <row r="507" spans="1:28" x14ac:dyDescent="0.2">
      <c r="A507" s="4">
        <v>50</v>
      </c>
      <c r="B507" s="4">
        <v>0</v>
      </c>
      <c r="C507" s="4">
        <v>0</v>
      </c>
      <c r="D507" s="4">
        <v>1</v>
      </c>
      <c r="E507" s="4">
        <v>203</v>
      </c>
      <c r="F507" s="4">
        <f>ROUND(Source!Q495,O507)</f>
        <v>1840.27</v>
      </c>
      <c r="G507" s="4" t="s">
        <v>102</v>
      </c>
      <c r="H507" s="4" t="s">
        <v>103</v>
      </c>
      <c r="I507" s="4"/>
      <c r="J507" s="4"/>
      <c r="K507" s="4">
        <v>203</v>
      </c>
      <c r="L507" s="4">
        <v>11</v>
      </c>
      <c r="M507" s="4">
        <v>3</v>
      </c>
      <c r="N507" s="4" t="s">
        <v>3</v>
      </c>
      <c r="O507" s="4">
        <v>2</v>
      </c>
      <c r="P507" s="4"/>
      <c r="Q507" s="4"/>
      <c r="R507" s="4"/>
      <c r="S507" s="4"/>
      <c r="T507" s="4"/>
      <c r="U507" s="4"/>
      <c r="V507" s="4"/>
      <c r="W507" s="4">
        <v>1840.27</v>
      </c>
      <c r="X507" s="4">
        <v>1</v>
      </c>
      <c r="Y507" s="4">
        <v>1840.27</v>
      </c>
      <c r="Z507" s="4"/>
      <c r="AA507" s="4"/>
      <c r="AB507" s="4"/>
    </row>
    <row r="508" spans="1:28" x14ac:dyDescent="0.2">
      <c r="A508" s="4">
        <v>50</v>
      </c>
      <c r="B508" s="4">
        <v>0</v>
      </c>
      <c r="C508" s="4">
        <v>0</v>
      </c>
      <c r="D508" s="4">
        <v>1</v>
      </c>
      <c r="E508" s="4">
        <v>231</v>
      </c>
      <c r="F508" s="4">
        <f>ROUND(Source!BB495,O508)</f>
        <v>0</v>
      </c>
      <c r="G508" s="4" t="s">
        <v>104</v>
      </c>
      <c r="H508" s="4" t="s">
        <v>105</v>
      </c>
      <c r="I508" s="4"/>
      <c r="J508" s="4"/>
      <c r="K508" s="4">
        <v>231</v>
      </c>
      <c r="L508" s="4">
        <v>12</v>
      </c>
      <c r="M508" s="4">
        <v>3</v>
      </c>
      <c r="N508" s="4" t="s">
        <v>3</v>
      </c>
      <c r="O508" s="4">
        <v>2</v>
      </c>
      <c r="P508" s="4"/>
      <c r="Q508" s="4"/>
      <c r="R508" s="4"/>
      <c r="S508" s="4"/>
      <c r="T508" s="4"/>
      <c r="U508" s="4"/>
      <c r="V508" s="4"/>
      <c r="W508" s="4">
        <v>0</v>
      </c>
      <c r="X508" s="4">
        <v>1</v>
      </c>
      <c r="Y508" s="4">
        <v>0</v>
      </c>
      <c r="Z508" s="4"/>
      <c r="AA508" s="4"/>
      <c r="AB508" s="4"/>
    </row>
    <row r="509" spans="1:28" x14ac:dyDescent="0.2">
      <c r="A509" s="4">
        <v>50</v>
      </c>
      <c r="B509" s="4">
        <v>0</v>
      </c>
      <c r="C509" s="4">
        <v>0</v>
      </c>
      <c r="D509" s="4">
        <v>1</v>
      </c>
      <c r="E509" s="4">
        <v>204</v>
      </c>
      <c r="F509" s="4">
        <f>ROUND(Source!R495,O509)</f>
        <v>277</v>
      </c>
      <c r="G509" s="4" t="s">
        <v>106</v>
      </c>
      <c r="H509" s="4" t="s">
        <v>107</v>
      </c>
      <c r="I509" s="4"/>
      <c r="J509" s="4"/>
      <c r="K509" s="4">
        <v>204</v>
      </c>
      <c r="L509" s="4">
        <v>13</v>
      </c>
      <c r="M509" s="4">
        <v>3</v>
      </c>
      <c r="N509" s="4" t="s">
        <v>3</v>
      </c>
      <c r="O509" s="4">
        <v>2</v>
      </c>
      <c r="P509" s="4"/>
      <c r="Q509" s="4"/>
      <c r="R509" s="4"/>
      <c r="S509" s="4"/>
      <c r="T509" s="4"/>
      <c r="U509" s="4"/>
      <c r="V509" s="4"/>
      <c r="W509" s="4">
        <v>277</v>
      </c>
      <c r="X509" s="4">
        <v>1</v>
      </c>
      <c r="Y509" s="4">
        <v>277</v>
      </c>
      <c r="Z509" s="4"/>
      <c r="AA509" s="4"/>
      <c r="AB509" s="4"/>
    </row>
    <row r="510" spans="1:28" x14ac:dyDescent="0.2">
      <c r="A510" s="4">
        <v>50</v>
      </c>
      <c r="B510" s="4">
        <v>0</v>
      </c>
      <c r="C510" s="4">
        <v>0</v>
      </c>
      <c r="D510" s="4">
        <v>1</v>
      </c>
      <c r="E510" s="4">
        <v>205</v>
      </c>
      <c r="F510" s="4">
        <f>ROUND(Source!S495,O510)</f>
        <v>8945.08</v>
      </c>
      <c r="G510" s="4" t="s">
        <v>108</v>
      </c>
      <c r="H510" s="4" t="s">
        <v>109</v>
      </c>
      <c r="I510" s="4"/>
      <c r="J510" s="4"/>
      <c r="K510" s="4">
        <v>205</v>
      </c>
      <c r="L510" s="4">
        <v>14</v>
      </c>
      <c r="M510" s="4">
        <v>3</v>
      </c>
      <c r="N510" s="4" t="s">
        <v>3</v>
      </c>
      <c r="O510" s="4">
        <v>2</v>
      </c>
      <c r="P510" s="4"/>
      <c r="Q510" s="4"/>
      <c r="R510" s="4"/>
      <c r="S510" s="4"/>
      <c r="T510" s="4"/>
      <c r="U510" s="4"/>
      <c r="V510" s="4"/>
      <c r="W510" s="4">
        <v>8945.08</v>
      </c>
      <c r="X510" s="4">
        <v>1</v>
      </c>
      <c r="Y510" s="4">
        <v>8945.08</v>
      </c>
      <c r="Z510" s="4"/>
      <c r="AA510" s="4"/>
      <c r="AB510" s="4"/>
    </row>
    <row r="511" spans="1:28" x14ac:dyDescent="0.2">
      <c r="A511" s="4">
        <v>50</v>
      </c>
      <c r="B511" s="4">
        <v>0</v>
      </c>
      <c r="C511" s="4">
        <v>0</v>
      </c>
      <c r="D511" s="4">
        <v>1</v>
      </c>
      <c r="E511" s="4">
        <v>232</v>
      </c>
      <c r="F511" s="4">
        <f>ROUND(Source!BC495,O511)</f>
        <v>0</v>
      </c>
      <c r="G511" s="4" t="s">
        <v>110</v>
      </c>
      <c r="H511" s="4" t="s">
        <v>111</v>
      </c>
      <c r="I511" s="4"/>
      <c r="J511" s="4"/>
      <c r="K511" s="4">
        <v>232</v>
      </c>
      <c r="L511" s="4">
        <v>15</v>
      </c>
      <c r="M511" s="4">
        <v>3</v>
      </c>
      <c r="N511" s="4" t="s">
        <v>3</v>
      </c>
      <c r="O511" s="4">
        <v>2</v>
      </c>
      <c r="P511" s="4"/>
      <c r="Q511" s="4"/>
      <c r="R511" s="4"/>
      <c r="S511" s="4"/>
      <c r="T511" s="4"/>
      <c r="U511" s="4"/>
      <c r="V511" s="4"/>
      <c r="W511" s="4">
        <v>0</v>
      </c>
      <c r="X511" s="4">
        <v>1</v>
      </c>
      <c r="Y511" s="4">
        <v>0</v>
      </c>
      <c r="Z511" s="4"/>
      <c r="AA511" s="4"/>
      <c r="AB511" s="4"/>
    </row>
    <row r="512" spans="1:28" x14ac:dyDescent="0.2">
      <c r="A512" s="4">
        <v>50</v>
      </c>
      <c r="B512" s="4">
        <v>0</v>
      </c>
      <c r="C512" s="4">
        <v>0</v>
      </c>
      <c r="D512" s="4">
        <v>1</v>
      </c>
      <c r="E512" s="4">
        <v>214</v>
      </c>
      <c r="F512" s="4">
        <f>ROUND(Source!AS495,O512)</f>
        <v>68195.31</v>
      </c>
      <c r="G512" s="4" t="s">
        <v>112</v>
      </c>
      <c r="H512" s="4" t="s">
        <v>113</v>
      </c>
      <c r="I512" s="4"/>
      <c r="J512" s="4"/>
      <c r="K512" s="4">
        <v>214</v>
      </c>
      <c r="L512" s="4">
        <v>16</v>
      </c>
      <c r="M512" s="4">
        <v>3</v>
      </c>
      <c r="N512" s="4" t="s">
        <v>3</v>
      </c>
      <c r="O512" s="4">
        <v>2</v>
      </c>
      <c r="P512" s="4"/>
      <c r="Q512" s="4"/>
      <c r="R512" s="4"/>
      <c r="S512" s="4"/>
      <c r="T512" s="4"/>
      <c r="U512" s="4"/>
      <c r="V512" s="4"/>
      <c r="W512" s="4">
        <v>68195.31</v>
      </c>
      <c r="X512" s="4">
        <v>1</v>
      </c>
      <c r="Y512" s="4">
        <v>68195.31</v>
      </c>
      <c r="Z512" s="4"/>
      <c r="AA512" s="4"/>
      <c r="AB512" s="4"/>
    </row>
    <row r="513" spans="1:28" x14ac:dyDescent="0.2">
      <c r="A513" s="4">
        <v>50</v>
      </c>
      <c r="B513" s="4">
        <v>0</v>
      </c>
      <c r="C513" s="4">
        <v>0</v>
      </c>
      <c r="D513" s="4">
        <v>1</v>
      </c>
      <c r="E513" s="4">
        <v>215</v>
      </c>
      <c r="F513" s="4">
        <f>ROUND(Source!AT495,O513)</f>
        <v>0</v>
      </c>
      <c r="G513" s="4" t="s">
        <v>114</v>
      </c>
      <c r="H513" s="4" t="s">
        <v>115</v>
      </c>
      <c r="I513" s="4"/>
      <c r="J513" s="4"/>
      <c r="K513" s="4">
        <v>215</v>
      </c>
      <c r="L513" s="4">
        <v>17</v>
      </c>
      <c r="M513" s="4">
        <v>3</v>
      </c>
      <c r="N513" s="4" t="s">
        <v>3</v>
      </c>
      <c r="O513" s="4">
        <v>2</v>
      </c>
      <c r="P513" s="4"/>
      <c r="Q513" s="4"/>
      <c r="R513" s="4"/>
      <c r="S513" s="4"/>
      <c r="T513" s="4"/>
      <c r="U513" s="4"/>
      <c r="V513" s="4"/>
      <c r="W513" s="4">
        <v>0</v>
      </c>
      <c r="X513" s="4">
        <v>1</v>
      </c>
      <c r="Y513" s="4">
        <v>0</v>
      </c>
      <c r="Z513" s="4"/>
      <c r="AA513" s="4"/>
      <c r="AB513" s="4"/>
    </row>
    <row r="514" spans="1:28" x14ac:dyDescent="0.2">
      <c r="A514" s="4">
        <v>50</v>
      </c>
      <c r="B514" s="4">
        <v>0</v>
      </c>
      <c r="C514" s="4">
        <v>0</v>
      </c>
      <c r="D514" s="4">
        <v>1</v>
      </c>
      <c r="E514" s="4">
        <v>217</v>
      </c>
      <c r="F514" s="4">
        <f>ROUND(Source!AU495,O514)</f>
        <v>0</v>
      </c>
      <c r="G514" s="4" t="s">
        <v>116</v>
      </c>
      <c r="H514" s="4" t="s">
        <v>117</v>
      </c>
      <c r="I514" s="4"/>
      <c r="J514" s="4"/>
      <c r="K514" s="4">
        <v>217</v>
      </c>
      <c r="L514" s="4">
        <v>18</v>
      </c>
      <c r="M514" s="4">
        <v>3</v>
      </c>
      <c r="N514" s="4" t="s">
        <v>3</v>
      </c>
      <c r="O514" s="4">
        <v>2</v>
      </c>
      <c r="P514" s="4"/>
      <c r="Q514" s="4"/>
      <c r="R514" s="4"/>
      <c r="S514" s="4"/>
      <c r="T514" s="4"/>
      <c r="U514" s="4"/>
      <c r="V514" s="4"/>
      <c r="W514" s="4">
        <v>0</v>
      </c>
      <c r="X514" s="4">
        <v>1</v>
      </c>
      <c r="Y514" s="4">
        <v>0</v>
      </c>
      <c r="Z514" s="4"/>
      <c r="AA514" s="4"/>
      <c r="AB514" s="4"/>
    </row>
    <row r="515" spans="1:28" x14ac:dyDescent="0.2">
      <c r="A515" s="4">
        <v>50</v>
      </c>
      <c r="B515" s="4">
        <v>0</v>
      </c>
      <c r="C515" s="4">
        <v>0</v>
      </c>
      <c r="D515" s="4">
        <v>1</v>
      </c>
      <c r="E515" s="4">
        <v>230</v>
      </c>
      <c r="F515" s="4">
        <f>ROUND(Source!BA495,O515)</f>
        <v>0</v>
      </c>
      <c r="G515" s="4" t="s">
        <v>118</v>
      </c>
      <c r="H515" s="4" t="s">
        <v>119</v>
      </c>
      <c r="I515" s="4"/>
      <c r="J515" s="4"/>
      <c r="K515" s="4">
        <v>230</v>
      </c>
      <c r="L515" s="4">
        <v>19</v>
      </c>
      <c r="M515" s="4">
        <v>3</v>
      </c>
      <c r="N515" s="4" t="s">
        <v>3</v>
      </c>
      <c r="O515" s="4">
        <v>2</v>
      </c>
      <c r="P515" s="4"/>
      <c r="Q515" s="4"/>
      <c r="R515" s="4"/>
      <c r="S515" s="4"/>
      <c r="T515" s="4"/>
      <c r="U515" s="4"/>
      <c r="V515" s="4"/>
      <c r="W515" s="4">
        <v>0</v>
      </c>
      <c r="X515" s="4">
        <v>1</v>
      </c>
      <c r="Y515" s="4">
        <v>0</v>
      </c>
      <c r="Z515" s="4"/>
      <c r="AA515" s="4"/>
      <c r="AB515" s="4"/>
    </row>
    <row r="516" spans="1:28" x14ac:dyDescent="0.2">
      <c r="A516" s="4">
        <v>50</v>
      </c>
      <c r="B516" s="4">
        <v>0</v>
      </c>
      <c r="C516" s="4">
        <v>0</v>
      </c>
      <c r="D516" s="4">
        <v>1</v>
      </c>
      <c r="E516" s="4">
        <v>206</v>
      </c>
      <c r="F516" s="4">
        <f>ROUND(Source!T495,O516)</f>
        <v>0</v>
      </c>
      <c r="G516" s="4" t="s">
        <v>120</v>
      </c>
      <c r="H516" s="4" t="s">
        <v>121</v>
      </c>
      <c r="I516" s="4"/>
      <c r="J516" s="4"/>
      <c r="K516" s="4">
        <v>206</v>
      </c>
      <c r="L516" s="4">
        <v>20</v>
      </c>
      <c r="M516" s="4">
        <v>3</v>
      </c>
      <c r="N516" s="4" t="s">
        <v>3</v>
      </c>
      <c r="O516" s="4">
        <v>2</v>
      </c>
      <c r="P516" s="4"/>
      <c r="Q516" s="4"/>
      <c r="R516" s="4"/>
      <c r="S516" s="4"/>
      <c r="T516" s="4"/>
      <c r="U516" s="4"/>
      <c r="V516" s="4"/>
      <c r="W516" s="4">
        <v>0</v>
      </c>
      <c r="X516" s="4">
        <v>1</v>
      </c>
      <c r="Y516" s="4">
        <v>0</v>
      </c>
      <c r="Z516" s="4"/>
      <c r="AA516" s="4"/>
      <c r="AB516" s="4"/>
    </row>
    <row r="517" spans="1:28" x14ac:dyDescent="0.2">
      <c r="A517" s="4">
        <v>50</v>
      </c>
      <c r="B517" s="4">
        <v>0</v>
      </c>
      <c r="C517" s="4">
        <v>0</v>
      </c>
      <c r="D517" s="4">
        <v>1</v>
      </c>
      <c r="E517" s="4">
        <v>207</v>
      </c>
      <c r="F517" s="4">
        <f>Source!U495</f>
        <v>31.251749000000004</v>
      </c>
      <c r="G517" s="4" t="s">
        <v>122</v>
      </c>
      <c r="H517" s="4" t="s">
        <v>123</v>
      </c>
      <c r="I517" s="4"/>
      <c r="J517" s="4"/>
      <c r="K517" s="4">
        <v>207</v>
      </c>
      <c r="L517" s="4">
        <v>21</v>
      </c>
      <c r="M517" s="4">
        <v>3</v>
      </c>
      <c r="N517" s="4" t="s">
        <v>3</v>
      </c>
      <c r="O517" s="4">
        <v>-1</v>
      </c>
      <c r="P517" s="4"/>
      <c r="Q517" s="4"/>
      <c r="R517" s="4"/>
      <c r="S517" s="4"/>
      <c r="T517" s="4"/>
      <c r="U517" s="4"/>
      <c r="V517" s="4"/>
      <c r="W517" s="4">
        <v>31.251749000000004</v>
      </c>
      <c r="X517" s="4">
        <v>1</v>
      </c>
      <c r="Y517" s="4">
        <v>31.251749000000004</v>
      </c>
      <c r="Z517" s="4"/>
      <c r="AA517" s="4"/>
      <c r="AB517" s="4"/>
    </row>
    <row r="518" spans="1:28" x14ac:dyDescent="0.2">
      <c r="A518" s="4">
        <v>50</v>
      </c>
      <c r="B518" s="4">
        <v>0</v>
      </c>
      <c r="C518" s="4">
        <v>0</v>
      </c>
      <c r="D518" s="4">
        <v>1</v>
      </c>
      <c r="E518" s="4">
        <v>208</v>
      </c>
      <c r="F518" s="4">
        <f>Source!V495</f>
        <v>0.683674</v>
      </c>
      <c r="G518" s="4" t="s">
        <v>124</v>
      </c>
      <c r="H518" s="4" t="s">
        <v>125</v>
      </c>
      <c r="I518" s="4"/>
      <c r="J518" s="4"/>
      <c r="K518" s="4">
        <v>208</v>
      </c>
      <c r="L518" s="4">
        <v>22</v>
      </c>
      <c r="M518" s="4">
        <v>3</v>
      </c>
      <c r="N518" s="4" t="s">
        <v>3</v>
      </c>
      <c r="O518" s="4">
        <v>-1</v>
      </c>
      <c r="P518" s="4"/>
      <c r="Q518" s="4"/>
      <c r="R518" s="4"/>
      <c r="S518" s="4"/>
      <c r="T518" s="4"/>
      <c r="U518" s="4"/>
      <c r="V518" s="4"/>
      <c r="W518" s="4">
        <v>0.68367399999999989</v>
      </c>
      <c r="X518" s="4">
        <v>1</v>
      </c>
      <c r="Y518" s="4">
        <v>0.68367399999999989</v>
      </c>
      <c r="Z518" s="4"/>
      <c r="AA518" s="4"/>
      <c r="AB518" s="4"/>
    </row>
    <row r="519" spans="1:28" x14ac:dyDescent="0.2">
      <c r="A519" s="4">
        <v>50</v>
      </c>
      <c r="B519" s="4">
        <v>0</v>
      </c>
      <c r="C519" s="4">
        <v>0</v>
      </c>
      <c r="D519" s="4">
        <v>1</v>
      </c>
      <c r="E519" s="4">
        <v>209</v>
      </c>
      <c r="F519" s="4">
        <f>ROUND(Source!W495,O519)</f>
        <v>0</v>
      </c>
      <c r="G519" s="4" t="s">
        <v>126</v>
      </c>
      <c r="H519" s="4" t="s">
        <v>127</v>
      </c>
      <c r="I519" s="4"/>
      <c r="J519" s="4"/>
      <c r="K519" s="4">
        <v>209</v>
      </c>
      <c r="L519" s="4">
        <v>23</v>
      </c>
      <c r="M519" s="4">
        <v>3</v>
      </c>
      <c r="N519" s="4" t="s">
        <v>3</v>
      </c>
      <c r="O519" s="4">
        <v>2</v>
      </c>
      <c r="P519" s="4"/>
      <c r="Q519" s="4"/>
      <c r="R519" s="4"/>
      <c r="S519" s="4"/>
      <c r="T519" s="4"/>
      <c r="U519" s="4"/>
      <c r="V519" s="4"/>
      <c r="W519" s="4">
        <v>0</v>
      </c>
      <c r="X519" s="4">
        <v>1</v>
      </c>
      <c r="Y519" s="4">
        <v>0</v>
      </c>
      <c r="Z519" s="4"/>
      <c r="AA519" s="4"/>
      <c r="AB519" s="4"/>
    </row>
    <row r="520" spans="1:28" x14ac:dyDescent="0.2">
      <c r="A520" s="4">
        <v>50</v>
      </c>
      <c r="B520" s="4">
        <v>0</v>
      </c>
      <c r="C520" s="4">
        <v>0</v>
      </c>
      <c r="D520" s="4">
        <v>1</v>
      </c>
      <c r="E520" s="4">
        <v>233</v>
      </c>
      <c r="F520" s="4">
        <f>ROUND(Source!BD495,O520)</f>
        <v>0</v>
      </c>
      <c r="G520" s="4" t="s">
        <v>128</v>
      </c>
      <c r="H520" s="4" t="s">
        <v>129</v>
      </c>
      <c r="I520" s="4"/>
      <c r="J520" s="4"/>
      <c r="K520" s="4">
        <v>233</v>
      </c>
      <c r="L520" s="4">
        <v>24</v>
      </c>
      <c r="M520" s="4">
        <v>3</v>
      </c>
      <c r="N520" s="4" t="s">
        <v>3</v>
      </c>
      <c r="O520" s="4">
        <v>2</v>
      </c>
      <c r="P520" s="4"/>
      <c r="Q520" s="4"/>
      <c r="R520" s="4"/>
      <c r="S520" s="4"/>
      <c r="T520" s="4"/>
      <c r="U520" s="4"/>
      <c r="V520" s="4"/>
      <c r="W520" s="4">
        <v>0</v>
      </c>
      <c r="X520" s="4">
        <v>1</v>
      </c>
      <c r="Y520" s="4">
        <v>0</v>
      </c>
      <c r="Z520" s="4"/>
      <c r="AA520" s="4"/>
      <c r="AB520" s="4"/>
    </row>
    <row r="521" spans="1:28" x14ac:dyDescent="0.2">
      <c r="A521" s="4">
        <v>50</v>
      </c>
      <c r="B521" s="4">
        <v>0</v>
      </c>
      <c r="C521" s="4">
        <v>0</v>
      </c>
      <c r="D521" s="4">
        <v>1</v>
      </c>
      <c r="E521" s="4">
        <v>210</v>
      </c>
      <c r="F521" s="4">
        <f>ROUND(Source!X495,O521)</f>
        <v>10088.030000000001</v>
      </c>
      <c r="G521" s="4" t="s">
        <v>130</v>
      </c>
      <c r="H521" s="4" t="s">
        <v>131</v>
      </c>
      <c r="I521" s="4"/>
      <c r="J521" s="4"/>
      <c r="K521" s="4">
        <v>210</v>
      </c>
      <c r="L521" s="4">
        <v>25</v>
      </c>
      <c r="M521" s="4">
        <v>3</v>
      </c>
      <c r="N521" s="4" t="s">
        <v>3</v>
      </c>
      <c r="O521" s="4">
        <v>2</v>
      </c>
      <c r="P521" s="4"/>
      <c r="Q521" s="4"/>
      <c r="R521" s="4"/>
      <c r="S521" s="4"/>
      <c r="T521" s="4"/>
      <c r="U521" s="4"/>
      <c r="V521" s="4"/>
      <c r="W521" s="4">
        <v>10088.030000000001</v>
      </c>
      <c r="X521" s="4">
        <v>1</v>
      </c>
      <c r="Y521" s="4">
        <v>10088.030000000001</v>
      </c>
      <c r="Z521" s="4"/>
      <c r="AA521" s="4"/>
      <c r="AB521" s="4"/>
    </row>
    <row r="522" spans="1:28" x14ac:dyDescent="0.2">
      <c r="A522" s="4">
        <v>50</v>
      </c>
      <c r="B522" s="4">
        <v>0</v>
      </c>
      <c r="C522" s="4">
        <v>0</v>
      </c>
      <c r="D522" s="4">
        <v>1</v>
      </c>
      <c r="E522" s="4">
        <v>211</v>
      </c>
      <c r="F522" s="4">
        <f>ROUND(Source!Y495,O522)</f>
        <v>5362.92</v>
      </c>
      <c r="G522" s="4" t="s">
        <v>132</v>
      </c>
      <c r="H522" s="4" t="s">
        <v>133</v>
      </c>
      <c r="I522" s="4"/>
      <c r="J522" s="4"/>
      <c r="K522" s="4">
        <v>211</v>
      </c>
      <c r="L522" s="4">
        <v>26</v>
      </c>
      <c r="M522" s="4">
        <v>3</v>
      </c>
      <c r="N522" s="4" t="s">
        <v>3</v>
      </c>
      <c r="O522" s="4">
        <v>2</v>
      </c>
      <c r="P522" s="4"/>
      <c r="Q522" s="4"/>
      <c r="R522" s="4"/>
      <c r="S522" s="4"/>
      <c r="T522" s="4"/>
      <c r="U522" s="4"/>
      <c r="V522" s="4"/>
      <c r="W522" s="4">
        <v>5362.92</v>
      </c>
      <c r="X522" s="4">
        <v>1</v>
      </c>
      <c r="Y522" s="4">
        <v>5362.92</v>
      </c>
      <c r="Z522" s="4"/>
      <c r="AA522" s="4"/>
      <c r="AB522" s="4"/>
    </row>
    <row r="523" spans="1:28" x14ac:dyDescent="0.2">
      <c r="A523" s="4">
        <v>50</v>
      </c>
      <c r="B523" s="4">
        <v>0</v>
      </c>
      <c r="C523" s="4">
        <v>0</v>
      </c>
      <c r="D523" s="4">
        <v>1</v>
      </c>
      <c r="E523" s="4">
        <v>224</v>
      </c>
      <c r="F523" s="4">
        <f>ROUND(Source!AR495,O523)</f>
        <v>68195.31</v>
      </c>
      <c r="G523" s="4" t="s">
        <v>134</v>
      </c>
      <c r="H523" s="4" t="s">
        <v>135</v>
      </c>
      <c r="I523" s="4"/>
      <c r="J523" s="4"/>
      <c r="K523" s="4">
        <v>224</v>
      </c>
      <c r="L523" s="4">
        <v>27</v>
      </c>
      <c r="M523" s="4">
        <v>3</v>
      </c>
      <c r="N523" s="4" t="s">
        <v>3</v>
      </c>
      <c r="O523" s="4">
        <v>2</v>
      </c>
      <c r="P523" s="4"/>
      <c r="Q523" s="4"/>
      <c r="R523" s="4"/>
      <c r="S523" s="4"/>
      <c r="T523" s="4"/>
      <c r="U523" s="4"/>
      <c r="V523" s="4"/>
      <c r="W523" s="4">
        <v>68195.31</v>
      </c>
      <c r="X523" s="4">
        <v>1</v>
      </c>
      <c r="Y523" s="4">
        <v>68195.31</v>
      </c>
      <c r="Z523" s="4"/>
      <c r="AA523" s="4"/>
      <c r="AB523" s="4"/>
    </row>
    <row r="524" spans="1:28" x14ac:dyDescent="0.2">
      <c r="A524" s="4">
        <v>50</v>
      </c>
      <c r="B524" s="4">
        <v>1</v>
      </c>
      <c r="C524" s="4">
        <v>0</v>
      </c>
      <c r="D524" s="4">
        <v>2</v>
      </c>
      <c r="E524" s="4">
        <v>0</v>
      </c>
      <c r="F524" s="4">
        <f>ROUND(F510,O524)</f>
        <v>8945.08</v>
      </c>
      <c r="G524" s="4" t="s">
        <v>136</v>
      </c>
      <c r="H524" s="4" t="s">
        <v>108</v>
      </c>
      <c r="I524" s="4"/>
      <c r="J524" s="4"/>
      <c r="K524" s="4">
        <v>212</v>
      </c>
      <c r="L524" s="4">
        <v>28</v>
      </c>
      <c r="M524" s="4">
        <v>0</v>
      </c>
      <c r="N524" s="4" t="s">
        <v>3</v>
      </c>
      <c r="O524" s="4">
        <v>2</v>
      </c>
      <c r="P524" s="4"/>
      <c r="Q524" s="4"/>
      <c r="R524" s="4"/>
      <c r="S524" s="4"/>
      <c r="T524" s="4"/>
      <c r="U524" s="4"/>
      <c r="V524" s="4"/>
      <c r="W524" s="4">
        <v>8945.08</v>
      </c>
      <c r="X524" s="4">
        <v>1</v>
      </c>
      <c r="Y524" s="4">
        <v>8945.08</v>
      </c>
      <c r="Z524" s="4"/>
      <c r="AA524" s="4"/>
      <c r="AB524" s="4"/>
    </row>
    <row r="525" spans="1:28" x14ac:dyDescent="0.2">
      <c r="A525" s="4">
        <v>50</v>
      </c>
      <c r="B525" s="4">
        <v>1</v>
      </c>
      <c r="C525" s="4">
        <v>0</v>
      </c>
      <c r="D525" s="4">
        <v>2</v>
      </c>
      <c r="E525" s="4">
        <v>0</v>
      </c>
      <c r="F525" s="4">
        <f>ROUND(F507,O525)</f>
        <v>1840.27</v>
      </c>
      <c r="G525" s="4" t="s">
        <v>137</v>
      </c>
      <c r="H525" s="4" t="s">
        <v>138</v>
      </c>
      <c r="I525" s="4"/>
      <c r="J525" s="4"/>
      <c r="K525" s="4">
        <v>212</v>
      </c>
      <c r="L525" s="4">
        <v>29</v>
      </c>
      <c r="M525" s="4">
        <v>0</v>
      </c>
      <c r="N525" s="4" t="s">
        <v>3</v>
      </c>
      <c r="O525" s="4">
        <v>2</v>
      </c>
      <c r="P525" s="4"/>
      <c r="Q525" s="4"/>
      <c r="R525" s="4"/>
      <c r="S525" s="4"/>
      <c r="T525" s="4"/>
      <c r="U525" s="4"/>
      <c r="V525" s="4"/>
      <c r="W525" s="4">
        <v>1840.27</v>
      </c>
      <c r="X525" s="4">
        <v>1</v>
      </c>
      <c r="Y525" s="4">
        <v>1840.27</v>
      </c>
      <c r="Z525" s="4"/>
      <c r="AA525" s="4"/>
      <c r="AB525" s="4"/>
    </row>
    <row r="526" spans="1:28" x14ac:dyDescent="0.2">
      <c r="A526" s="4">
        <v>50</v>
      </c>
      <c r="B526" s="4">
        <v>1</v>
      </c>
      <c r="C526" s="4">
        <v>0</v>
      </c>
      <c r="D526" s="4">
        <v>2</v>
      </c>
      <c r="E526" s="4">
        <v>0</v>
      </c>
      <c r="F526" s="4">
        <f>ROUND(F498,O526)</f>
        <v>41959.01</v>
      </c>
      <c r="G526" s="4" t="s">
        <v>139</v>
      </c>
      <c r="H526" s="4" t="s">
        <v>140</v>
      </c>
      <c r="I526" s="4"/>
      <c r="J526" s="4"/>
      <c r="K526" s="4">
        <v>212</v>
      </c>
      <c r="L526" s="4">
        <v>30</v>
      </c>
      <c r="M526" s="4">
        <v>0</v>
      </c>
      <c r="N526" s="4" t="s">
        <v>3</v>
      </c>
      <c r="O526" s="4">
        <v>2</v>
      </c>
      <c r="P526" s="4"/>
      <c r="Q526" s="4"/>
      <c r="R526" s="4"/>
      <c r="S526" s="4"/>
      <c r="T526" s="4"/>
      <c r="U526" s="4"/>
      <c r="V526" s="4"/>
      <c r="W526" s="4">
        <v>41959.01</v>
      </c>
      <c r="X526" s="4">
        <v>1</v>
      </c>
      <c r="Y526" s="4">
        <v>41959.01</v>
      </c>
      <c r="Z526" s="4"/>
      <c r="AA526" s="4"/>
      <c r="AB526" s="4"/>
    </row>
    <row r="527" spans="1:28" x14ac:dyDescent="0.2">
      <c r="A527" s="4">
        <v>50</v>
      </c>
      <c r="B527" s="4">
        <v>1</v>
      </c>
      <c r="C527" s="4">
        <v>0</v>
      </c>
      <c r="D527" s="4">
        <v>2</v>
      </c>
      <c r="E527" s="4">
        <v>0</v>
      </c>
      <c r="F527" s="4">
        <f>ROUND(F521,O527)</f>
        <v>10088.030000000001</v>
      </c>
      <c r="G527" s="4" t="s">
        <v>141</v>
      </c>
      <c r="H527" s="4" t="s">
        <v>130</v>
      </c>
      <c r="I527" s="4"/>
      <c r="J527" s="4"/>
      <c r="K527" s="4">
        <v>212</v>
      </c>
      <c r="L527" s="4">
        <v>31</v>
      </c>
      <c r="M527" s="4">
        <v>0</v>
      </c>
      <c r="N527" s="4" t="s">
        <v>3</v>
      </c>
      <c r="O527" s="4">
        <v>2</v>
      </c>
      <c r="P527" s="4"/>
      <c r="Q527" s="4"/>
      <c r="R527" s="4"/>
      <c r="S527" s="4"/>
      <c r="T527" s="4"/>
      <c r="U527" s="4"/>
      <c r="V527" s="4"/>
      <c r="W527" s="4">
        <v>10088.030000000001</v>
      </c>
      <c r="X527" s="4">
        <v>1</v>
      </c>
      <c r="Y527" s="4">
        <v>10088.030000000001</v>
      </c>
      <c r="Z527" s="4"/>
      <c r="AA527" s="4"/>
      <c r="AB527" s="4"/>
    </row>
    <row r="528" spans="1:28" x14ac:dyDescent="0.2">
      <c r="A528" s="4">
        <v>50</v>
      </c>
      <c r="B528" s="4">
        <v>1</v>
      </c>
      <c r="C528" s="4">
        <v>0</v>
      </c>
      <c r="D528" s="4">
        <v>2</v>
      </c>
      <c r="E528" s="4">
        <v>0</v>
      </c>
      <c r="F528" s="4">
        <f>ROUND(F522,O528)</f>
        <v>5362.92</v>
      </c>
      <c r="G528" s="4" t="s">
        <v>142</v>
      </c>
      <c r="H528" s="4" t="s">
        <v>143</v>
      </c>
      <c r="I528" s="4"/>
      <c r="J528" s="4"/>
      <c r="K528" s="4">
        <v>212</v>
      </c>
      <c r="L528" s="4">
        <v>32</v>
      </c>
      <c r="M528" s="4">
        <v>0</v>
      </c>
      <c r="N528" s="4" t="s">
        <v>3</v>
      </c>
      <c r="O528" s="4">
        <v>2</v>
      </c>
      <c r="P528" s="4"/>
      <c r="Q528" s="4"/>
      <c r="R528" s="4"/>
      <c r="S528" s="4"/>
      <c r="T528" s="4"/>
      <c r="U528" s="4"/>
      <c r="V528" s="4"/>
      <c r="W528" s="4">
        <v>5362.92</v>
      </c>
      <c r="X528" s="4">
        <v>1</v>
      </c>
      <c r="Y528" s="4">
        <v>5362.92</v>
      </c>
      <c r="Z528" s="4"/>
      <c r="AA528" s="4"/>
      <c r="AB528" s="4"/>
    </row>
    <row r="529" spans="1:206" x14ac:dyDescent="0.2">
      <c r="A529" s="4">
        <v>50</v>
      </c>
      <c r="B529" s="4">
        <v>1</v>
      </c>
      <c r="C529" s="4">
        <v>0</v>
      </c>
      <c r="D529" s="4">
        <v>2</v>
      </c>
      <c r="E529" s="4">
        <v>0</v>
      </c>
      <c r="F529" s="4">
        <f>ROUND(F524+F525+F526+F527+F528,O529)</f>
        <v>68195.31</v>
      </c>
      <c r="G529" s="4" t="s">
        <v>144</v>
      </c>
      <c r="H529" s="4" t="s">
        <v>134</v>
      </c>
      <c r="I529" s="4"/>
      <c r="J529" s="4"/>
      <c r="K529" s="4">
        <v>212</v>
      </c>
      <c r="L529" s="4">
        <v>33</v>
      </c>
      <c r="M529" s="4">
        <v>0</v>
      </c>
      <c r="N529" s="4" t="s">
        <v>3</v>
      </c>
      <c r="O529" s="4">
        <v>2</v>
      </c>
      <c r="P529" s="4"/>
      <c r="Q529" s="4"/>
      <c r="R529" s="4"/>
      <c r="S529" s="4"/>
      <c r="T529" s="4"/>
      <c r="U529" s="4"/>
      <c r="V529" s="4"/>
      <c r="W529" s="4">
        <v>68195.31</v>
      </c>
      <c r="X529" s="4">
        <v>1</v>
      </c>
      <c r="Y529" s="4">
        <v>68195.31</v>
      </c>
      <c r="Z529" s="4"/>
      <c r="AA529" s="4"/>
      <c r="AB529" s="4"/>
    </row>
    <row r="530" spans="1:206" x14ac:dyDescent="0.2">
      <c r="A530" s="4">
        <v>50</v>
      </c>
      <c r="B530" s="4">
        <v>1</v>
      </c>
      <c r="C530" s="4">
        <v>0</v>
      </c>
      <c r="D530" s="4">
        <v>2</v>
      </c>
      <c r="E530" s="4">
        <v>0</v>
      </c>
      <c r="F530" s="4">
        <f>ROUND(F529*0.2,O530)</f>
        <v>13639.06</v>
      </c>
      <c r="G530" s="4" t="s">
        <v>145</v>
      </c>
      <c r="H530" s="4" t="s">
        <v>146</v>
      </c>
      <c r="I530" s="4"/>
      <c r="J530" s="4"/>
      <c r="K530" s="4">
        <v>212</v>
      </c>
      <c r="L530" s="4">
        <v>34</v>
      </c>
      <c r="M530" s="4">
        <v>0</v>
      </c>
      <c r="N530" s="4" t="s">
        <v>3</v>
      </c>
      <c r="O530" s="4">
        <v>2</v>
      </c>
      <c r="P530" s="4"/>
      <c r="Q530" s="4"/>
      <c r="R530" s="4"/>
      <c r="S530" s="4"/>
      <c r="T530" s="4"/>
      <c r="U530" s="4"/>
      <c r="V530" s="4"/>
      <c r="W530" s="4">
        <v>13639.06</v>
      </c>
      <c r="X530" s="4">
        <v>1</v>
      </c>
      <c r="Y530" s="4">
        <v>13639.06</v>
      </c>
      <c r="Z530" s="4"/>
      <c r="AA530" s="4"/>
      <c r="AB530" s="4"/>
    </row>
    <row r="531" spans="1:206" x14ac:dyDescent="0.2">
      <c r="A531" s="4">
        <v>50</v>
      </c>
      <c r="B531" s="4">
        <v>1</v>
      </c>
      <c r="C531" s="4">
        <v>0</v>
      </c>
      <c r="D531" s="4">
        <v>2</v>
      </c>
      <c r="E531" s="4">
        <v>213</v>
      </c>
      <c r="F531" s="4">
        <f>ROUND(F529+F530,O531)</f>
        <v>81834.37</v>
      </c>
      <c r="G531" s="4" t="s">
        <v>147</v>
      </c>
      <c r="H531" s="4" t="s">
        <v>148</v>
      </c>
      <c r="I531" s="4"/>
      <c r="J531" s="4"/>
      <c r="K531" s="4">
        <v>212</v>
      </c>
      <c r="L531" s="4">
        <v>35</v>
      </c>
      <c r="M531" s="4">
        <v>0</v>
      </c>
      <c r="N531" s="4" t="s">
        <v>3</v>
      </c>
      <c r="O531" s="4">
        <v>2</v>
      </c>
      <c r="P531" s="4"/>
      <c r="Q531" s="4"/>
      <c r="R531" s="4"/>
      <c r="S531" s="4"/>
      <c r="T531" s="4"/>
      <c r="U531" s="4"/>
      <c r="V531" s="4"/>
      <c r="W531" s="4">
        <v>81834.37</v>
      </c>
      <c r="X531" s="4">
        <v>1</v>
      </c>
      <c r="Y531" s="4">
        <v>81834.37</v>
      </c>
      <c r="Z531" s="4"/>
      <c r="AA531" s="4"/>
      <c r="AB531" s="4"/>
    </row>
    <row r="533" spans="1:206" x14ac:dyDescent="0.2">
      <c r="A533" s="2">
        <v>51</v>
      </c>
      <c r="B533" s="2">
        <f>B20</f>
        <v>1</v>
      </c>
      <c r="C533" s="2">
        <f>A20</f>
        <v>3</v>
      </c>
      <c r="D533" s="2">
        <f>ROW(A20)</f>
        <v>20</v>
      </c>
      <c r="E533" s="2"/>
      <c r="F533" s="2" t="str">
        <f>IF(F20&lt;&gt;"",F20,"")</f>
        <v/>
      </c>
      <c r="G533" s="2" t="str">
        <f>IF(G20&lt;&gt;"",G20,"")</f>
        <v>Новая локальная смета</v>
      </c>
      <c r="H533" s="2">
        <v>0</v>
      </c>
      <c r="I533" s="2"/>
      <c r="J533" s="2"/>
      <c r="K533" s="2"/>
      <c r="L533" s="2"/>
      <c r="M533" s="2"/>
      <c r="N533" s="2"/>
      <c r="O533" s="2">
        <f t="shared" ref="O533:T533" si="394">ROUND(O38+O205+O273+O340+O384+O438+O495+AB533,2)</f>
        <v>2184218.23</v>
      </c>
      <c r="P533" s="2">
        <f t="shared" si="394"/>
        <v>966613.95</v>
      </c>
      <c r="Q533" s="2">
        <f t="shared" si="394"/>
        <v>467699.64</v>
      </c>
      <c r="R533" s="2">
        <f t="shared" si="394"/>
        <v>119672.7</v>
      </c>
      <c r="S533" s="2">
        <f t="shared" si="394"/>
        <v>749904.64</v>
      </c>
      <c r="T533" s="2">
        <f t="shared" si="394"/>
        <v>0</v>
      </c>
      <c r="U533" s="2">
        <f>U38+U205+U273+U340+U384+U438+U495+AH533</f>
        <v>2469.4044460000005</v>
      </c>
      <c r="V533" s="2">
        <f>V38+V205+V273+V340+V384+V438+V495+AI533</f>
        <v>285.08076099999994</v>
      </c>
      <c r="W533" s="2">
        <f>ROUND(W38+W205+W273+W340+W384+W438+W495+AJ533,2)</f>
        <v>0</v>
      </c>
      <c r="X533" s="2">
        <f>ROUND(X38+X205+X273+X340+X384+X438+X495+AK533,2)</f>
        <v>940723.5</v>
      </c>
      <c r="Y533" s="2">
        <f>ROUND(Y38+Y205+Y273+Y340+Y384+Y438+Y495+AL533,2)</f>
        <v>620130.5</v>
      </c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>
        <f t="shared" ref="AO533:BD533" si="395">ROUND(AO38+AO205+AO273+AO340+AO384+AO438+AO495+BX533,2)</f>
        <v>0</v>
      </c>
      <c r="AP533" s="2">
        <f t="shared" si="395"/>
        <v>0</v>
      </c>
      <c r="AQ533" s="2">
        <f t="shared" si="395"/>
        <v>0</v>
      </c>
      <c r="AR533" s="2">
        <f t="shared" si="395"/>
        <v>3745072.23</v>
      </c>
      <c r="AS533" s="2">
        <f t="shared" si="395"/>
        <v>3722015.81</v>
      </c>
      <c r="AT533" s="2">
        <f t="shared" si="395"/>
        <v>23056.42</v>
      </c>
      <c r="AU533" s="2">
        <f t="shared" si="395"/>
        <v>0</v>
      </c>
      <c r="AV533" s="2">
        <f t="shared" si="395"/>
        <v>966613.95</v>
      </c>
      <c r="AW533" s="2">
        <f t="shared" si="395"/>
        <v>966613.95</v>
      </c>
      <c r="AX533" s="2">
        <f t="shared" si="395"/>
        <v>0</v>
      </c>
      <c r="AY533" s="2">
        <f t="shared" si="395"/>
        <v>966613.95</v>
      </c>
      <c r="AZ533" s="2">
        <f t="shared" si="395"/>
        <v>0</v>
      </c>
      <c r="BA533" s="2">
        <f t="shared" si="395"/>
        <v>0</v>
      </c>
      <c r="BB533" s="2">
        <f t="shared" si="395"/>
        <v>0</v>
      </c>
      <c r="BC533" s="2">
        <f t="shared" si="395"/>
        <v>0</v>
      </c>
      <c r="BD533" s="2">
        <f t="shared" si="395"/>
        <v>467.16</v>
      </c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>
        <v>0</v>
      </c>
    </row>
    <row r="535" spans="1:206" x14ac:dyDescent="0.2">
      <c r="A535" s="4">
        <v>50</v>
      </c>
      <c r="B535" s="4">
        <v>0</v>
      </c>
      <c r="C535" s="4">
        <v>0</v>
      </c>
      <c r="D535" s="4">
        <v>1</v>
      </c>
      <c r="E535" s="4">
        <v>201</v>
      </c>
      <c r="F535" s="4">
        <f>ROUND(Source!O533,O535)</f>
        <v>2184218.23</v>
      </c>
      <c r="G535" s="4" t="s">
        <v>82</v>
      </c>
      <c r="H535" s="4" t="s">
        <v>83</v>
      </c>
      <c r="I535" s="4"/>
      <c r="J535" s="4"/>
      <c r="K535" s="4">
        <v>201</v>
      </c>
      <c r="L535" s="4">
        <v>1</v>
      </c>
      <c r="M535" s="4">
        <v>3</v>
      </c>
      <c r="N535" s="4" t="s">
        <v>3</v>
      </c>
      <c r="O535" s="4">
        <v>2</v>
      </c>
      <c r="P535" s="4"/>
      <c r="Q535" s="4"/>
      <c r="R535" s="4"/>
      <c r="S535" s="4"/>
      <c r="T535" s="4"/>
      <c r="U535" s="4"/>
      <c r="V535" s="4"/>
      <c r="W535" s="4">
        <v>2184218.23</v>
      </c>
      <c r="X535" s="4">
        <v>1</v>
      </c>
      <c r="Y535" s="4">
        <v>2184218.23</v>
      </c>
      <c r="Z535" s="4"/>
      <c r="AA535" s="4"/>
      <c r="AB535" s="4"/>
    </row>
    <row r="536" spans="1:206" x14ac:dyDescent="0.2">
      <c r="A536" s="4">
        <v>50</v>
      </c>
      <c r="B536" s="4">
        <v>0</v>
      </c>
      <c r="C536" s="4">
        <v>0</v>
      </c>
      <c r="D536" s="4">
        <v>1</v>
      </c>
      <c r="E536" s="4">
        <v>202</v>
      </c>
      <c r="F536" s="4">
        <f>ROUND(Source!P533,O536)</f>
        <v>966613.95</v>
      </c>
      <c r="G536" s="4" t="s">
        <v>84</v>
      </c>
      <c r="H536" s="4" t="s">
        <v>85</v>
      </c>
      <c r="I536" s="4"/>
      <c r="J536" s="4"/>
      <c r="K536" s="4">
        <v>202</v>
      </c>
      <c r="L536" s="4">
        <v>2</v>
      </c>
      <c r="M536" s="4">
        <v>3</v>
      </c>
      <c r="N536" s="4" t="s">
        <v>3</v>
      </c>
      <c r="O536" s="4">
        <v>2</v>
      </c>
      <c r="P536" s="4"/>
      <c r="Q536" s="4"/>
      <c r="R536" s="4"/>
      <c r="S536" s="4"/>
      <c r="T536" s="4"/>
      <c r="U536" s="4"/>
      <c r="V536" s="4"/>
      <c r="W536" s="4">
        <v>966613.95</v>
      </c>
      <c r="X536" s="4">
        <v>1</v>
      </c>
      <c r="Y536" s="4">
        <v>966613.95</v>
      </c>
      <c r="Z536" s="4"/>
      <c r="AA536" s="4"/>
      <c r="AB536" s="4"/>
    </row>
    <row r="537" spans="1:206" x14ac:dyDescent="0.2">
      <c r="A537" s="4">
        <v>50</v>
      </c>
      <c r="B537" s="4">
        <v>0</v>
      </c>
      <c r="C537" s="4">
        <v>0</v>
      </c>
      <c r="D537" s="4">
        <v>1</v>
      </c>
      <c r="E537" s="4">
        <v>222</v>
      </c>
      <c r="F537" s="4">
        <f>ROUND(Source!AO533,O537)</f>
        <v>0</v>
      </c>
      <c r="G537" s="4" t="s">
        <v>86</v>
      </c>
      <c r="H537" s="4" t="s">
        <v>87</v>
      </c>
      <c r="I537" s="4"/>
      <c r="J537" s="4"/>
      <c r="K537" s="4">
        <v>222</v>
      </c>
      <c r="L537" s="4">
        <v>3</v>
      </c>
      <c r="M537" s="4">
        <v>3</v>
      </c>
      <c r="N537" s="4" t="s">
        <v>3</v>
      </c>
      <c r="O537" s="4">
        <v>2</v>
      </c>
      <c r="P537" s="4"/>
      <c r="Q537" s="4"/>
      <c r="R537" s="4"/>
      <c r="S537" s="4"/>
      <c r="T537" s="4"/>
      <c r="U537" s="4"/>
      <c r="V537" s="4"/>
      <c r="W537" s="4">
        <v>0</v>
      </c>
      <c r="X537" s="4">
        <v>1</v>
      </c>
      <c r="Y537" s="4">
        <v>0</v>
      </c>
      <c r="Z537" s="4"/>
      <c r="AA537" s="4"/>
      <c r="AB537" s="4"/>
    </row>
    <row r="538" spans="1:206" x14ac:dyDescent="0.2">
      <c r="A538" s="4">
        <v>50</v>
      </c>
      <c r="B538" s="4">
        <v>0</v>
      </c>
      <c r="C538" s="4">
        <v>0</v>
      </c>
      <c r="D538" s="4">
        <v>1</v>
      </c>
      <c r="E538" s="4">
        <v>225</v>
      </c>
      <c r="F538" s="4">
        <f>ROUND(Source!AV533,O538)</f>
        <v>966613.95</v>
      </c>
      <c r="G538" s="4" t="s">
        <v>88</v>
      </c>
      <c r="H538" s="4" t="s">
        <v>89</v>
      </c>
      <c r="I538" s="4"/>
      <c r="J538" s="4"/>
      <c r="K538" s="4">
        <v>225</v>
      </c>
      <c r="L538" s="4">
        <v>4</v>
      </c>
      <c r="M538" s="4">
        <v>3</v>
      </c>
      <c r="N538" s="4" t="s">
        <v>3</v>
      </c>
      <c r="O538" s="4">
        <v>2</v>
      </c>
      <c r="P538" s="4"/>
      <c r="Q538" s="4"/>
      <c r="R538" s="4"/>
      <c r="S538" s="4"/>
      <c r="T538" s="4"/>
      <c r="U538" s="4"/>
      <c r="V538" s="4"/>
      <c r="W538" s="4">
        <v>966613.95</v>
      </c>
      <c r="X538" s="4">
        <v>1</v>
      </c>
      <c r="Y538" s="4">
        <v>966613.95</v>
      </c>
      <c r="Z538" s="4"/>
      <c r="AA538" s="4"/>
      <c r="AB538" s="4"/>
    </row>
    <row r="539" spans="1:206" x14ac:dyDescent="0.2">
      <c r="A539" s="4">
        <v>50</v>
      </c>
      <c r="B539" s="4">
        <v>0</v>
      </c>
      <c r="C539" s="4">
        <v>0</v>
      </c>
      <c r="D539" s="4">
        <v>1</v>
      </c>
      <c r="E539" s="4">
        <v>226</v>
      </c>
      <c r="F539" s="4">
        <f>ROUND(Source!AW533,O539)</f>
        <v>966613.95</v>
      </c>
      <c r="G539" s="4" t="s">
        <v>90</v>
      </c>
      <c r="H539" s="4" t="s">
        <v>91</v>
      </c>
      <c r="I539" s="4"/>
      <c r="J539" s="4"/>
      <c r="K539" s="4">
        <v>226</v>
      </c>
      <c r="L539" s="4">
        <v>5</v>
      </c>
      <c r="M539" s="4">
        <v>3</v>
      </c>
      <c r="N539" s="4" t="s">
        <v>3</v>
      </c>
      <c r="O539" s="4">
        <v>2</v>
      </c>
      <c r="P539" s="4"/>
      <c r="Q539" s="4"/>
      <c r="R539" s="4"/>
      <c r="S539" s="4"/>
      <c r="T539" s="4"/>
      <c r="U539" s="4"/>
      <c r="V539" s="4"/>
      <c r="W539" s="4">
        <v>966613.95</v>
      </c>
      <c r="X539" s="4">
        <v>1</v>
      </c>
      <c r="Y539" s="4">
        <v>966613.95</v>
      </c>
      <c r="Z539" s="4"/>
      <c r="AA539" s="4"/>
      <c r="AB539" s="4"/>
    </row>
    <row r="540" spans="1:206" x14ac:dyDescent="0.2">
      <c r="A540" s="4">
        <v>50</v>
      </c>
      <c r="B540" s="4">
        <v>0</v>
      </c>
      <c r="C540" s="4">
        <v>0</v>
      </c>
      <c r="D540" s="4">
        <v>1</v>
      </c>
      <c r="E540" s="4">
        <v>227</v>
      </c>
      <c r="F540" s="4">
        <f>ROUND(Source!AX533,O540)</f>
        <v>0</v>
      </c>
      <c r="G540" s="4" t="s">
        <v>92</v>
      </c>
      <c r="H540" s="4" t="s">
        <v>93</v>
      </c>
      <c r="I540" s="4"/>
      <c r="J540" s="4"/>
      <c r="K540" s="4">
        <v>227</v>
      </c>
      <c r="L540" s="4">
        <v>6</v>
      </c>
      <c r="M540" s="4">
        <v>3</v>
      </c>
      <c r="N540" s="4" t="s">
        <v>3</v>
      </c>
      <c r="O540" s="4">
        <v>2</v>
      </c>
      <c r="P540" s="4"/>
      <c r="Q540" s="4"/>
      <c r="R540" s="4"/>
      <c r="S540" s="4"/>
      <c r="T540" s="4"/>
      <c r="U540" s="4"/>
      <c r="V540" s="4"/>
      <c r="W540" s="4">
        <v>0</v>
      </c>
      <c r="X540" s="4">
        <v>1</v>
      </c>
      <c r="Y540" s="4">
        <v>0</v>
      </c>
      <c r="Z540" s="4"/>
      <c r="AA540" s="4"/>
      <c r="AB540" s="4"/>
    </row>
    <row r="541" spans="1:206" x14ac:dyDescent="0.2">
      <c r="A541" s="4">
        <v>50</v>
      </c>
      <c r="B541" s="4">
        <v>0</v>
      </c>
      <c r="C541" s="4">
        <v>0</v>
      </c>
      <c r="D541" s="4">
        <v>1</v>
      </c>
      <c r="E541" s="4">
        <v>228</v>
      </c>
      <c r="F541" s="4">
        <f>ROUND(Source!AY533,O541)</f>
        <v>966613.95</v>
      </c>
      <c r="G541" s="4" t="s">
        <v>94</v>
      </c>
      <c r="H541" s="4" t="s">
        <v>95</v>
      </c>
      <c r="I541" s="4"/>
      <c r="J541" s="4"/>
      <c r="K541" s="4">
        <v>228</v>
      </c>
      <c r="L541" s="4">
        <v>7</v>
      </c>
      <c r="M541" s="4">
        <v>3</v>
      </c>
      <c r="N541" s="4" t="s">
        <v>3</v>
      </c>
      <c r="O541" s="4">
        <v>2</v>
      </c>
      <c r="P541" s="4"/>
      <c r="Q541" s="4"/>
      <c r="R541" s="4"/>
      <c r="S541" s="4"/>
      <c r="T541" s="4"/>
      <c r="U541" s="4"/>
      <c r="V541" s="4"/>
      <c r="W541" s="4">
        <v>966613.95</v>
      </c>
      <c r="X541" s="4">
        <v>1</v>
      </c>
      <c r="Y541" s="4">
        <v>966613.95</v>
      </c>
      <c r="Z541" s="4"/>
      <c r="AA541" s="4"/>
      <c r="AB541" s="4"/>
    </row>
    <row r="542" spans="1:206" x14ac:dyDescent="0.2">
      <c r="A542" s="4">
        <v>50</v>
      </c>
      <c r="B542" s="4">
        <v>0</v>
      </c>
      <c r="C542" s="4">
        <v>0</v>
      </c>
      <c r="D542" s="4">
        <v>1</v>
      </c>
      <c r="E542" s="4">
        <v>216</v>
      </c>
      <c r="F542" s="4">
        <f>ROUND(Source!AP533,O542)</f>
        <v>0</v>
      </c>
      <c r="G542" s="4" t="s">
        <v>96</v>
      </c>
      <c r="H542" s="4" t="s">
        <v>97</v>
      </c>
      <c r="I542" s="4"/>
      <c r="J542" s="4"/>
      <c r="K542" s="4">
        <v>216</v>
      </c>
      <c r="L542" s="4">
        <v>8</v>
      </c>
      <c r="M542" s="4">
        <v>3</v>
      </c>
      <c r="N542" s="4" t="s">
        <v>3</v>
      </c>
      <c r="O542" s="4">
        <v>2</v>
      </c>
      <c r="P542" s="4"/>
      <c r="Q542" s="4"/>
      <c r="R542" s="4"/>
      <c r="S542" s="4"/>
      <c r="T542" s="4"/>
      <c r="U542" s="4"/>
      <c r="V542" s="4"/>
      <c r="W542" s="4">
        <v>0</v>
      </c>
      <c r="X542" s="4">
        <v>1</v>
      </c>
      <c r="Y542" s="4">
        <v>0</v>
      </c>
      <c r="Z542" s="4"/>
      <c r="AA542" s="4"/>
      <c r="AB542" s="4"/>
    </row>
    <row r="543" spans="1:206" x14ac:dyDescent="0.2">
      <c r="A543" s="4">
        <v>50</v>
      </c>
      <c r="B543" s="4">
        <v>0</v>
      </c>
      <c r="C543" s="4">
        <v>0</v>
      </c>
      <c r="D543" s="4">
        <v>1</v>
      </c>
      <c r="E543" s="4">
        <v>223</v>
      </c>
      <c r="F543" s="4">
        <f>ROUND(Source!AQ533,O543)</f>
        <v>0</v>
      </c>
      <c r="G543" s="4" t="s">
        <v>98</v>
      </c>
      <c r="H543" s="4" t="s">
        <v>99</v>
      </c>
      <c r="I543" s="4"/>
      <c r="J543" s="4"/>
      <c r="K543" s="4">
        <v>223</v>
      </c>
      <c r="L543" s="4">
        <v>9</v>
      </c>
      <c r="M543" s="4">
        <v>3</v>
      </c>
      <c r="N543" s="4" t="s">
        <v>3</v>
      </c>
      <c r="O543" s="4">
        <v>2</v>
      </c>
      <c r="P543" s="4"/>
      <c r="Q543" s="4"/>
      <c r="R543" s="4"/>
      <c r="S543" s="4"/>
      <c r="T543" s="4"/>
      <c r="U543" s="4"/>
      <c r="V543" s="4"/>
      <c r="W543" s="4">
        <v>0</v>
      </c>
      <c r="X543" s="4">
        <v>1</v>
      </c>
      <c r="Y543" s="4">
        <v>0</v>
      </c>
      <c r="Z543" s="4"/>
      <c r="AA543" s="4"/>
      <c r="AB543" s="4"/>
    </row>
    <row r="544" spans="1:206" x14ac:dyDescent="0.2">
      <c r="A544" s="4">
        <v>50</v>
      </c>
      <c r="B544" s="4">
        <v>0</v>
      </c>
      <c r="C544" s="4">
        <v>0</v>
      </c>
      <c r="D544" s="4">
        <v>1</v>
      </c>
      <c r="E544" s="4">
        <v>229</v>
      </c>
      <c r="F544" s="4">
        <f>ROUND(Source!AZ533,O544)</f>
        <v>0</v>
      </c>
      <c r="G544" s="4" t="s">
        <v>100</v>
      </c>
      <c r="H544" s="4" t="s">
        <v>101</v>
      </c>
      <c r="I544" s="4"/>
      <c r="J544" s="4"/>
      <c r="K544" s="4">
        <v>229</v>
      </c>
      <c r="L544" s="4">
        <v>10</v>
      </c>
      <c r="M544" s="4">
        <v>3</v>
      </c>
      <c r="N544" s="4" t="s">
        <v>3</v>
      </c>
      <c r="O544" s="4">
        <v>2</v>
      </c>
      <c r="P544" s="4"/>
      <c r="Q544" s="4"/>
      <c r="R544" s="4"/>
      <c r="S544" s="4"/>
      <c r="T544" s="4"/>
      <c r="U544" s="4"/>
      <c r="V544" s="4"/>
      <c r="W544" s="4">
        <v>0</v>
      </c>
      <c r="X544" s="4">
        <v>1</v>
      </c>
      <c r="Y544" s="4">
        <v>0</v>
      </c>
      <c r="Z544" s="4"/>
      <c r="AA544" s="4"/>
      <c r="AB544" s="4"/>
    </row>
    <row r="545" spans="1:28" x14ac:dyDescent="0.2">
      <c r="A545" s="4">
        <v>50</v>
      </c>
      <c r="B545" s="4">
        <v>0</v>
      </c>
      <c r="C545" s="4">
        <v>0</v>
      </c>
      <c r="D545" s="4">
        <v>1</v>
      </c>
      <c r="E545" s="4">
        <v>203</v>
      </c>
      <c r="F545" s="4">
        <f>ROUND(Source!Q533,O545)</f>
        <v>467699.64</v>
      </c>
      <c r="G545" s="4" t="s">
        <v>102</v>
      </c>
      <c r="H545" s="4" t="s">
        <v>103</v>
      </c>
      <c r="I545" s="4"/>
      <c r="J545" s="4"/>
      <c r="K545" s="4">
        <v>203</v>
      </c>
      <c r="L545" s="4">
        <v>11</v>
      </c>
      <c r="M545" s="4">
        <v>3</v>
      </c>
      <c r="N545" s="4" t="s">
        <v>3</v>
      </c>
      <c r="O545" s="4">
        <v>2</v>
      </c>
      <c r="P545" s="4"/>
      <c r="Q545" s="4"/>
      <c r="R545" s="4"/>
      <c r="S545" s="4"/>
      <c r="T545" s="4"/>
      <c r="U545" s="4"/>
      <c r="V545" s="4"/>
      <c r="W545" s="4">
        <v>467699.64</v>
      </c>
      <c r="X545" s="4">
        <v>1</v>
      </c>
      <c r="Y545" s="4">
        <v>467699.64</v>
      </c>
      <c r="Z545" s="4"/>
      <c r="AA545" s="4"/>
      <c r="AB545" s="4"/>
    </row>
    <row r="546" spans="1:28" x14ac:dyDescent="0.2">
      <c r="A546" s="4">
        <v>50</v>
      </c>
      <c r="B546" s="4">
        <v>0</v>
      </c>
      <c r="C546" s="4">
        <v>0</v>
      </c>
      <c r="D546" s="4">
        <v>1</v>
      </c>
      <c r="E546" s="4">
        <v>231</v>
      </c>
      <c r="F546" s="4">
        <f>ROUND(Source!BB533,O546)</f>
        <v>0</v>
      </c>
      <c r="G546" s="4" t="s">
        <v>104</v>
      </c>
      <c r="H546" s="4" t="s">
        <v>105</v>
      </c>
      <c r="I546" s="4"/>
      <c r="J546" s="4"/>
      <c r="K546" s="4">
        <v>231</v>
      </c>
      <c r="L546" s="4">
        <v>12</v>
      </c>
      <c r="M546" s="4">
        <v>3</v>
      </c>
      <c r="N546" s="4" t="s">
        <v>3</v>
      </c>
      <c r="O546" s="4">
        <v>2</v>
      </c>
      <c r="P546" s="4"/>
      <c r="Q546" s="4"/>
      <c r="R546" s="4"/>
      <c r="S546" s="4"/>
      <c r="T546" s="4"/>
      <c r="U546" s="4"/>
      <c r="V546" s="4"/>
      <c r="W546" s="4">
        <v>0</v>
      </c>
      <c r="X546" s="4">
        <v>1</v>
      </c>
      <c r="Y546" s="4">
        <v>0</v>
      </c>
      <c r="Z546" s="4"/>
      <c r="AA546" s="4"/>
      <c r="AB546" s="4"/>
    </row>
    <row r="547" spans="1:28" x14ac:dyDescent="0.2">
      <c r="A547" s="4">
        <v>50</v>
      </c>
      <c r="B547" s="4">
        <v>0</v>
      </c>
      <c r="C547" s="4">
        <v>0</v>
      </c>
      <c r="D547" s="4">
        <v>1</v>
      </c>
      <c r="E547" s="4">
        <v>204</v>
      </c>
      <c r="F547" s="4">
        <f>ROUND(Source!R533,O547)</f>
        <v>119672.7</v>
      </c>
      <c r="G547" s="4" t="s">
        <v>106</v>
      </c>
      <c r="H547" s="4" t="s">
        <v>107</v>
      </c>
      <c r="I547" s="4"/>
      <c r="J547" s="4"/>
      <c r="K547" s="4">
        <v>204</v>
      </c>
      <c r="L547" s="4">
        <v>13</v>
      </c>
      <c r="M547" s="4">
        <v>3</v>
      </c>
      <c r="N547" s="4" t="s">
        <v>3</v>
      </c>
      <c r="O547" s="4">
        <v>2</v>
      </c>
      <c r="P547" s="4"/>
      <c r="Q547" s="4"/>
      <c r="R547" s="4"/>
      <c r="S547" s="4"/>
      <c r="T547" s="4"/>
      <c r="U547" s="4"/>
      <c r="V547" s="4"/>
      <c r="W547" s="4">
        <v>119672.7</v>
      </c>
      <c r="X547" s="4">
        <v>1</v>
      </c>
      <c r="Y547" s="4">
        <v>119672.7</v>
      </c>
      <c r="Z547" s="4"/>
      <c r="AA547" s="4"/>
      <c r="AB547" s="4"/>
    </row>
    <row r="548" spans="1:28" x14ac:dyDescent="0.2">
      <c r="A548" s="4">
        <v>50</v>
      </c>
      <c r="B548" s="4">
        <v>0</v>
      </c>
      <c r="C548" s="4">
        <v>0</v>
      </c>
      <c r="D548" s="4">
        <v>1</v>
      </c>
      <c r="E548" s="4">
        <v>205</v>
      </c>
      <c r="F548" s="4">
        <f>ROUND(Source!S533,O548)</f>
        <v>749904.64</v>
      </c>
      <c r="G548" s="4" t="s">
        <v>108</v>
      </c>
      <c r="H548" s="4" t="s">
        <v>109</v>
      </c>
      <c r="I548" s="4"/>
      <c r="J548" s="4"/>
      <c r="K548" s="4">
        <v>205</v>
      </c>
      <c r="L548" s="4">
        <v>14</v>
      </c>
      <c r="M548" s="4">
        <v>3</v>
      </c>
      <c r="N548" s="4" t="s">
        <v>3</v>
      </c>
      <c r="O548" s="4">
        <v>2</v>
      </c>
      <c r="P548" s="4"/>
      <c r="Q548" s="4"/>
      <c r="R548" s="4"/>
      <c r="S548" s="4"/>
      <c r="T548" s="4"/>
      <c r="U548" s="4"/>
      <c r="V548" s="4"/>
      <c r="W548" s="4">
        <v>749904.64</v>
      </c>
      <c r="X548" s="4">
        <v>1</v>
      </c>
      <c r="Y548" s="4">
        <v>749904.64</v>
      </c>
      <c r="Z548" s="4"/>
      <c r="AA548" s="4"/>
      <c r="AB548" s="4"/>
    </row>
    <row r="549" spans="1:28" x14ac:dyDescent="0.2">
      <c r="A549" s="4">
        <v>50</v>
      </c>
      <c r="B549" s="4">
        <v>0</v>
      </c>
      <c r="C549" s="4">
        <v>0</v>
      </c>
      <c r="D549" s="4">
        <v>1</v>
      </c>
      <c r="E549" s="4">
        <v>232</v>
      </c>
      <c r="F549" s="4">
        <f>ROUND(Source!BC533,O549)</f>
        <v>0</v>
      </c>
      <c r="G549" s="4" t="s">
        <v>110</v>
      </c>
      <c r="H549" s="4" t="s">
        <v>111</v>
      </c>
      <c r="I549" s="4"/>
      <c r="J549" s="4"/>
      <c r="K549" s="4">
        <v>232</v>
      </c>
      <c r="L549" s="4">
        <v>15</v>
      </c>
      <c r="M549" s="4">
        <v>3</v>
      </c>
      <c r="N549" s="4" t="s">
        <v>3</v>
      </c>
      <c r="O549" s="4">
        <v>2</v>
      </c>
      <c r="P549" s="4"/>
      <c r="Q549" s="4"/>
      <c r="R549" s="4"/>
      <c r="S549" s="4"/>
      <c r="T549" s="4"/>
      <c r="U549" s="4"/>
      <c r="V549" s="4"/>
      <c r="W549" s="4">
        <v>0</v>
      </c>
      <c r="X549" s="4">
        <v>1</v>
      </c>
      <c r="Y549" s="4">
        <v>0</v>
      </c>
      <c r="Z549" s="4"/>
      <c r="AA549" s="4"/>
      <c r="AB549" s="4"/>
    </row>
    <row r="550" spans="1:28" x14ac:dyDescent="0.2">
      <c r="A550" s="4">
        <v>50</v>
      </c>
      <c r="B550" s="4">
        <v>0</v>
      </c>
      <c r="C550" s="4">
        <v>0</v>
      </c>
      <c r="D550" s="4">
        <v>1</v>
      </c>
      <c r="E550" s="4">
        <v>214</v>
      </c>
      <c r="F550" s="4">
        <f>ROUND(Source!AS533,O550)</f>
        <v>3722015.81</v>
      </c>
      <c r="G550" s="4" t="s">
        <v>112</v>
      </c>
      <c r="H550" s="4" t="s">
        <v>113</v>
      </c>
      <c r="I550" s="4"/>
      <c r="J550" s="4"/>
      <c r="K550" s="4">
        <v>214</v>
      </c>
      <c r="L550" s="4">
        <v>16</v>
      </c>
      <c r="M550" s="4">
        <v>3</v>
      </c>
      <c r="N550" s="4" t="s">
        <v>3</v>
      </c>
      <c r="O550" s="4">
        <v>2</v>
      </c>
      <c r="P550" s="4"/>
      <c r="Q550" s="4"/>
      <c r="R550" s="4"/>
      <c r="S550" s="4"/>
      <c r="T550" s="4"/>
      <c r="U550" s="4"/>
      <c r="V550" s="4"/>
      <c r="W550" s="4">
        <v>3722015.81</v>
      </c>
      <c r="X550" s="4">
        <v>1</v>
      </c>
      <c r="Y550" s="4">
        <v>3722015.81</v>
      </c>
      <c r="Z550" s="4"/>
      <c r="AA550" s="4"/>
      <c r="AB550" s="4"/>
    </row>
    <row r="551" spans="1:28" x14ac:dyDescent="0.2">
      <c r="A551" s="4">
        <v>50</v>
      </c>
      <c r="B551" s="4">
        <v>0</v>
      </c>
      <c r="C551" s="4">
        <v>0</v>
      </c>
      <c r="D551" s="4">
        <v>1</v>
      </c>
      <c r="E551" s="4">
        <v>215</v>
      </c>
      <c r="F551" s="4">
        <f>ROUND(Source!AT533,O551)</f>
        <v>23056.42</v>
      </c>
      <c r="G551" s="4" t="s">
        <v>114</v>
      </c>
      <c r="H551" s="4" t="s">
        <v>115</v>
      </c>
      <c r="I551" s="4"/>
      <c r="J551" s="4"/>
      <c r="K551" s="4">
        <v>215</v>
      </c>
      <c r="L551" s="4">
        <v>17</v>
      </c>
      <c r="M551" s="4">
        <v>3</v>
      </c>
      <c r="N551" s="4" t="s">
        <v>3</v>
      </c>
      <c r="O551" s="4">
        <v>2</v>
      </c>
      <c r="P551" s="4"/>
      <c r="Q551" s="4"/>
      <c r="R551" s="4"/>
      <c r="S551" s="4"/>
      <c r="T551" s="4"/>
      <c r="U551" s="4"/>
      <c r="V551" s="4"/>
      <c r="W551" s="4">
        <v>23056.42</v>
      </c>
      <c r="X551" s="4">
        <v>1</v>
      </c>
      <c r="Y551" s="4">
        <v>23056.42</v>
      </c>
      <c r="Z551" s="4"/>
      <c r="AA551" s="4"/>
      <c r="AB551" s="4"/>
    </row>
    <row r="552" spans="1:28" x14ac:dyDescent="0.2">
      <c r="A552" s="4">
        <v>50</v>
      </c>
      <c r="B552" s="4">
        <v>0</v>
      </c>
      <c r="C552" s="4">
        <v>0</v>
      </c>
      <c r="D552" s="4">
        <v>1</v>
      </c>
      <c r="E552" s="4">
        <v>217</v>
      </c>
      <c r="F552" s="4">
        <f>ROUND(Source!AU533,O552)</f>
        <v>0</v>
      </c>
      <c r="G552" s="4" t="s">
        <v>116</v>
      </c>
      <c r="H552" s="4" t="s">
        <v>117</v>
      </c>
      <c r="I552" s="4"/>
      <c r="J552" s="4"/>
      <c r="K552" s="4">
        <v>217</v>
      </c>
      <c r="L552" s="4">
        <v>18</v>
      </c>
      <c r="M552" s="4">
        <v>3</v>
      </c>
      <c r="N552" s="4" t="s">
        <v>3</v>
      </c>
      <c r="O552" s="4">
        <v>2</v>
      </c>
      <c r="P552" s="4"/>
      <c r="Q552" s="4"/>
      <c r="R552" s="4"/>
      <c r="S552" s="4"/>
      <c r="T552" s="4"/>
      <c r="U552" s="4"/>
      <c r="V552" s="4"/>
      <c r="W552" s="4">
        <v>0</v>
      </c>
      <c r="X552" s="4">
        <v>1</v>
      </c>
      <c r="Y552" s="4">
        <v>0</v>
      </c>
      <c r="Z552" s="4"/>
      <c r="AA552" s="4"/>
      <c r="AB552" s="4"/>
    </row>
    <row r="553" spans="1:28" x14ac:dyDescent="0.2">
      <c r="A553" s="4">
        <v>50</v>
      </c>
      <c r="B553" s="4">
        <v>0</v>
      </c>
      <c r="C553" s="4">
        <v>0</v>
      </c>
      <c r="D553" s="4">
        <v>1</v>
      </c>
      <c r="E553" s="4">
        <v>230</v>
      </c>
      <c r="F553" s="4">
        <f>ROUND(Source!BA533,O553)</f>
        <v>0</v>
      </c>
      <c r="G553" s="4" t="s">
        <v>118</v>
      </c>
      <c r="H553" s="4" t="s">
        <v>119</v>
      </c>
      <c r="I553" s="4"/>
      <c r="J553" s="4"/>
      <c r="K553" s="4">
        <v>230</v>
      </c>
      <c r="L553" s="4">
        <v>19</v>
      </c>
      <c r="M553" s="4">
        <v>3</v>
      </c>
      <c r="N553" s="4" t="s">
        <v>3</v>
      </c>
      <c r="O553" s="4">
        <v>2</v>
      </c>
      <c r="P553" s="4"/>
      <c r="Q553" s="4"/>
      <c r="R553" s="4"/>
      <c r="S553" s="4"/>
      <c r="T553" s="4"/>
      <c r="U553" s="4"/>
      <c r="V553" s="4"/>
      <c r="W553" s="4">
        <v>0</v>
      </c>
      <c r="X553" s="4">
        <v>1</v>
      </c>
      <c r="Y553" s="4">
        <v>0</v>
      </c>
      <c r="Z553" s="4"/>
      <c r="AA553" s="4"/>
      <c r="AB553" s="4"/>
    </row>
    <row r="554" spans="1:28" x14ac:dyDescent="0.2">
      <c r="A554" s="4">
        <v>50</v>
      </c>
      <c r="B554" s="4">
        <v>0</v>
      </c>
      <c r="C554" s="4">
        <v>0</v>
      </c>
      <c r="D554" s="4">
        <v>1</v>
      </c>
      <c r="E554" s="4">
        <v>206</v>
      </c>
      <c r="F554" s="4">
        <f>ROUND(Source!T533,O554)</f>
        <v>0</v>
      </c>
      <c r="G554" s="4" t="s">
        <v>120</v>
      </c>
      <c r="H554" s="4" t="s">
        <v>121</v>
      </c>
      <c r="I554" s="4"/>
      <c r="J554" s="4"/>
      <c r="K554" s="4">
        <v>206</v>
      </c>
      <c r="L554" s="4">
        <v>20</v>
      </c>
      <c r="M554" s="4">
        <v>3</v>
      </c>
      <c r="N554" s="4" t="s">
        <v>3</v>
      </c>
      <c r="O554" s="4">
        <v>2</v>
      </c>
      <c r="P554" s="4"/>
      <c r="Q554" s="4"/>
      <c r="R554" s="4"/>
      <c r="S554" s="4"/>
      <c r="T554" s="4"/>
      <c r="U554" s="4"/>
      <c r="V554" s="4"/>
      <c r="W554" s="4">
        <v>0</v>
      </c>
      <c r="X554" s="4">
        <v>1</v>
      </c>
      <c r="Y554" s="4">
        <v>0</v>
      </c>
      <c r="Z554" s="4"/>
      <c r="AA554" s="4"/>
      <c r="AB554" s="4"/>
    </row>
    <row r="555" spans="1:28" x14ac:dyDescent="0.2">
      <c r="A555" s="4">
        <v>50</v>
      </c>
      <c r="B555" s="4">
        <v>0</v>
      </c>
      <c r="C555" s="4">
        <v>0</v>
      </c>
      <c r="D555" s="4">
        <v>1</v>
      </c>
      <c r="E555" s="4">
        <v>207</v>
      </c>
      <c r="F555" s="4">
        <f>Source!U533</f>
        <v>2469.4044460000005</v>
      </c>
      <c r="G555" s="4" t="s">
        <v>122</v>
      </c>
      <c r="H555" s="4" t="s">
        <v>123</v>
      </c>
      <c r="I555" s="4"/>
      <c r="J555" s="4"/>
      <c r="K555" s="4">
        <v>207</v>
      </c>
      <c r="L555" s="4">
        <v>21</v>
      </c>
      <c r="M555" s="4">
        <v>3</v>
      </c>
      <c r="N555" s="4" t="s">
        <v>3</v>
      </c>
      <c r="O555" s="4">
        <v>-1</v>
      </c>
      <c r="P555" s="4"/>
      <c r="Q555" s="4"/>
      <c r="R555" s="4"/>
      <c r="S555" s="4"/>
      <c r="T555" s="4"/>
      <c r="U555" s="4"/>
      <c r="V555" s="4"/>
      <c r="W555" s="4">
        <v>2469.4044459999986</v>
      </c>
      <c r="X555" s="4">
        <v>1</v>
      </c>
      <c r="Y555" s="4">
        <v>2469.4044459999986</v>
      </c>
      <c r="Z555" s="4"/>
      <c r="AA555" s="4"/>
      <c r="AB555" s="4"/>
    </row>
    <row r="556" spans="1:28" x14ac:dyDescent="0.2">
      <c r="A556" s="4">
        <v>50</v>
      </c>
      <c r="B556" s="4">
        <v>0</v>
      </c>
      <c r="C556" s="4">
        <v>0</v>
      </c>
      <c r="D556" s="4">
        <v>1</v>
      </c>
      <c r="E556" s="4">
        <v>208</v>
      </c>
      <c r="F556" s="4">
        <f>Source!V533</f>
        <v>285.08076099999994</v>
      </c>
      <c r="G556" s="4" t="s">
        <v>124</v>
      </c>
      <c r="H556" s="4" t="s">
        <v>125</v>
      </c>
      <c r="I556" s="4"/>
      <c r="J556" s="4"/>
      <c r="K556" s="4">
        <v>208</v>
      </c>
      <c r="L556" s="4">
        <v>22</v>
      </c>
      <c r="M556" s="4">
        <v>3</v>
      </c>
      <c r="N556" s="4" t="s">
        <v>3</v>
      </c>
      <c r="O556" s="4">
        <v>-1</v>
      </c>
      <c r="P556" s="4"/>
      <c r="Q556" s="4"/>
      <c r="R556" s="4"/>
      <c r="S556" s="4"/>
      <c r="T556" s="4"/>
      <c r="U556" s="4"/>
      <c r="V556" s="4"/>
      <c r="W556" s="4">
        <v>285.08076100000005</v>
      </c>
      <c r="X556" s="4">
        <v>1</v>
      </c>
      <c r="Y556" s="4">
        <v>285.08076100000005</v>
      </c>
      <c r="Z556" s="4"/>
      <c r="AA556" s="4"/>
      <c r="AB556" s="4"/>
    </row>
    <row r="557" spans="1:28" x14ac:dyDescent="0.2">
      <c r="A557" s="4">
        <v>50</v>
      </c>
      <c r="B557" s="4">
        <v>0</v>
      </c>
      <c r="C557" s="4">
        <v>0</v>
      </c>
      <c r="D557" s="4">
        <v>1</v>
      </c>
      <c r="E557" s="4">
        <v>209</v>
      </c>
      <c r="F557" s="4">
        <f>ROUND(Source!W533,O557)</f>
        <v>0</v>
      </c>
      <c r="G557" s="4" t="s">
        <v>126</v>
      </c>
      <c r="H557" s="4" t="s">
        <v>127</v>
      </c>
      <c r="I557" s="4"/>
      <c r="J557" s="4"/>
      <c r="K557" s="4">
        <v>209</v>
      </c>
      <c r="L557" s="4">
        <v>23</v>
      </c>
      <c r="M557" s="4">
        <v>3</v>
      </c>
      <c r="N557" s="4" t="s">
        <v>3</v>
      </c>
      <c r="O557" s="4">
        <v>2</v>
      </c>
      <c r="P557" s="4"/>
      <c r="Q557" s="4"/>
      <c r="R557" s="4"/>
      <c r="S557" s="4"/>
      <c r="T557" s="4"/>
      <c r="U557" s="4"/>
      <c r="V557" s="4"/>
      <c r="W557" s="4">
        <v>0</v>
      </c>
      <c r="X557" s="4">
        <v>1</v>
      </c>
      <c r="Y557" s="4">
        <v>0</v>
      </c>
      <c r="Z557" s="4"/>
      <c r="AA557" s="4"/>
      <c r="AB557" s="4"/>
    </row>
    <row r="558" spans="1:28" x14ac:dyDescent="0.2">
      <c r="A558" s="4">
        <v>50</v>
      </c>
      <c r="B558" s="4">
        <v>0</v>
      </c>
      <c r="C558" s="4">
        <v>0</v>
      </c>
      <c r="D558" s="4">
        <v>1</v>
      </c>
      <c r="E558" s="4">
        <v>233</v>
      </c>
      <c r="F558" s="4">
        <f>ROUND(Source!BD533,O558)</f>
        <v>467.16</v>
      </c>
      <c r="G558" s="4" t="s">
        <v>128</v>
      </c>
      <c r="H558" s="4" t="s">
        <v>129</v>
      </c>
      <c r="I558" s="4"/>
      <c r="J558" s="4"/>
      <c r="K558" s="4">
        <v>233</v>
      </c>
      <c r="L558" s="4">
        <v>24</v>
      </c>
      <c r="M558" s="4">
        <v>3</v>
      </c>
      <c r="N558" s="4" t="s">
        <v>3</v>
      </c>
      <c r="O558" s="4">
        <v>2</v>
      </c>
      <c r="P558" s="4"/>
      <c r="Q558" s="4"/>
      <c r="R558" s="4"/>
      <c r="S558" s="4"/>
      <c r="T558" s="4"/>
      <c r="U558" s="4"/>
      <c r="V558" s="4"/>
      <c r="W558" s="4">
        <v>467.16</v>
      </c>
      <c r="X558" s="4">
        <v>1</v>
      </c>
      <c r="Y558" s="4">
        <v>467.16</v>
      </c>
      <c r="Z558" s="4"/>
      <c r="AA558" s="4"/>
      <c r="AB558" s="4"/>
    </row>
    <row r="559" spans="1:28" x14ac:dyDescent="0.2">
      <c r="A559" s="4">
        <v>50</v>
      </c>
      <c r="B559" s="4">
        <v>0</v>
      </c>
      <c r="C559" s="4">
        <v>0</v>
      </c>
      <c r="D559" s="4">
        <v>1</v>
      </c>
      <c r="E559" s="4">
        <v>210</v>
      </c>
      <c r="F559" s="4">
        <f>ROUND(Source!X533,O559)</f>
        <v>940723.5</v>
      </c>
      <c r="G559" s="4" t="s">
        <v>130</v>
      </c>
      <c r="H559" s="4" t="s">
        <v>131</v>
      </c>
      <c r="I559" s="4"/>
      <c r="J559" s="4"/>
      <c r="K559" s="4">
        <v>210</v>
      </c>
      <c r="L559" s="4">
        <v>25</v>
      </c>
      <c r="M559" s="4">
        <v>3</v>
      </c>
      <c r="N559" s="4" t="s">
        <v>3</v>
      </c>
      <c r="O559" s="4">
        <v>2</v>
      </c>
      <c r="P559" s="4"/>
      <c r="Q559" s="4"/>
      <c r="R559" s="4"/>
      <c r="S559" s="4"/>
      <c r="T559" s="4"/>
      <c r="U559" s="4"/>
      <c r="V559" s="4"/>
      <c r="W559" s="4">
        <v>940723.5</v>
      </c>
      <c r="X559" s="4">
        <v>1</v>
      </c>
      <c r="Y559" s="4">
        <v>940723.5</v>
      </c>
      <c r="Z559" s="4"/>
      <c r="AA559" s="4"/>
      <c r="AB559" s="4"/>
    </row>
    <row r="560" spans="1:28" x14ac:dyDescent="0.2">
      <c r="A560" s="4">
        <v>50</v>
      </c>
      <c r="B560" s="4">
        <v>0</v>
      </c>
      <c r="C560" s="4">
        <v>0</v>
      </c>
      <c r="D560" s="4">
        <v>1</v>
      </c>
      <c r="E560" s="4">
        <v>211</v>
      </c>
      <c r="F560" s="4">
        <f>ROUND(Source!Y533,O560)</f>
        <v>620130.5</v>
      </c>
      <c r="G560" s="4" t="s">
        <v>132</v>
      </c>
      <c r="H560" s="4" t="s">
        <v>133</v>
      </c>
      <c r="I560" s="4"/>
      <c r="J560" s="4"/>
      <c r="K560" s="4">
        <v>211</v>
      </c>
      <c r="L560" s="4">
        <v>26</v>
      </c>
      <c r="M560" s="4">
        <v>3</v>
      </c>
      <c r="N560" s="4" t="s">
        <v>3</v>
      </c>
      <c r="O560" s="4">
        <v>2</v>
      </c>
      <c r="P560" s="4"/>
      <c r="Q560" s="4"/>
      <c r="R560" s="4"/>
      <c r="S560" s="4"/>
      <c r="T560" s="4"/>
      <c r="U560" s="4"/>
      <c r="V560" s="4"/>
      <c r="W560" s="4">
        <v>620130.5</v>
      </c>
      <c r="X560" s="4">
        <v>1</v>
      </c>
      <c r="Y560" s="4">
        <v>620130.5</v>
      </c>
      <c r="Z560" s="4"/>
      <c r="AA560" s="4"/>
      <c r="AB560" s="4"/>
    </row>
    <row r="561" spans="1:206" x14ac:dyDescent="0.2">
      <c r="A561" s="4">
        <v>50</v>
      </c>
      <c r="B561" s="4">
        <v>0</v>
      </c>
      <c r="C561" s="4">
        <v>0</v>
      </c>
      <c r="D561" s="4">
        <v>1</v>
      </c>
      <c r="E561" s="4">
        <v>224</v>
      </c>
      <c r="F561" s="4">
        <f>ROUND(Source!AR533,O561)</f>
        <v>3745072.23</v>
      </c>
      <c r="G561" s="4" t="s">
        <v>134</v>
      </c>
      <c r="H561" s="4" t="s">
        <v>135</v>
      </c>
      <c r="I561" s="4"/>
      <c r="J561" s="4"/>
      <c r="K561" s="4">
        <v>224</v>
      </c>
      <c r="L561" s="4">
        <v>27</v>
      </c>
      <c r="M561" s="4">
        <v>3</v>
      </c>
      <c r="N561" s="4" t="s">
        <v>3</v>
      </c>
      <c r="O561" s="4">
        <v>2</v>
      </c>
      <c r="P561" s="4"/>
      <c r="Q561" s="4"/>
      <c r="R561" s="4"/>
      <c r="S561" s="4"/>
      <c r="T561" s="4"/>
      <c r="U561" s="4"/>
      <c r="V561" s="4"/>
      <c r="W561" s="4">
        <v>3745072.23</v>
      </c>
      <c r="X561" s="4">
        <v>1</v>
      </c>
      <c r="Y561" s="4">
        <v>3745072.23</v>
      </c>
      <c r="Z561" s="4"/>
      <c r="AA561" s="4"/>
      <c r="AB561" s="4"/>
    </row>
    <row r="563" spans="1:206" x14ac:dyDescent="0.2">
      <c r="A563" s="2">
        <v>51</v>
      </c>
      <c r="B563" s="2">
        <f>B12</f>
        <v>627</v>
      </c>
      <c r="C563" s="2">
        <f>A12</f>
        <v>1</v>
      </c>
      <c r="D563" s="2">
        <f>ROW(A12)</f>
        <v>12</v>
      </c>
      <c r="E563" s="2"/>
      <c r="F563" s="2" t="str">
        <f>IF(F12&lt;&gt;"",F12,"")</f>
        <v>Новый объект</v>
      </c>
      <c r="G563" s="2" t="str">
        <f>IF(G12&lt;&gt;"",G12,"")</f>
        <v>Благоустройство кладбища в д. Нижнее Николаевское</v>
      </c>
      <c r="H563" s="2">
        <v>0</v>
      </c>
      <c r="I563" s="2"/>
      <c r="J563" s="2"/>
      <c r="K563" s="2"/>
      <c r="L563" s="2"/>
      <c r="M563" s="2"/>
      <c r="N563" s="2"/>
      <c r="O563" s="2">
        <f t="shared" ref="O563:T563" si="396">ROUND(O533,2)</f>
        <v>2184218.23</v>
      </c>
      <c r="P563" s="2">
        <f t="shared" si="396"/>
        <v>966613.95</v>
      </c>
      <c r="Q563" s="2">
        <f t="shared" si="396"/>
        <v>467699.64</v>
      </c>
      <c r="R563" s="2">
        <f t="shared" si="396"/>
        <v>119672.7</v>
      </c>
      <c r="S563" s="2">
        <f t="shared" si="396"/>
        <v>749904.64</v>
      </c>
      <c r="T563" s="2">
        <f t="shared" si="396"/>
        <v>0</v>
      </c>
      <c r="U563" s="2">
        <f>U533</f>
        <v>2469.4044460000005</v>
      </c>
      <c r="V563" s="2">
        <f>V533</f>
        <v>285.08076099999994</v>
      </c>
      <c r="W563" s="2">
        <f>ROUND(W533,2)</f>
        <v>0</v>
      </c>
      <c r="X563" s="2">
        <f>ROUND(X533,2)</f>
        <v>940723.5</v>
      </c>
      <c r="Y563" s="2">
        <f>ROUND(Y533,2)</f>
        <v>620130.5</v>
      </c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>
        <f t="shared" ref="AO563:BD563" si="397">ROUND(AO533,2)</f>
        <v>0</v>
      </c>
      <c r="AP563" s="2">
        <f t="shared" si="397"/>
        <v>0</v>
      </c>
      <c r="AQ563" s="2">
        <f t="shared" si="397"/>
        <v>0</v>
      </c>
      <c r="AR563" s="2">
        <f t="shared" si="397"/>
        <v>3745072.23</v>
      </c>
      <c r="AS563" s="2">
        <f t="shared" si="397"/>
        <v>3722015.81</v>
      </c>
      <c r="AT563" s="2">
        <f t="shared" si="397"/>
        <v>23056.42</v>
      </c>
      <c r="AU563" s="2">
        <f t="shared" si="397"/>
        <v>0</v>
      </c>
      <c r="AV563" s="2">
        <f t="shared" si="397"/>
        <v>966613.95</v>
      </c>
      <c r="AW563" s="2">
        <f t="shared" si="397"/>
        <v>966613.95</v>
      </c>
      <c r="AX563" s="2">
        <f t="shared" si="397"/>
        <v>0</v>
      </c>
      <c r="AY563" s="2">
        <f t="shared" si="397"/>
        <v>966613.95</v>
      </c>
      <c r="AZ563" s="2">
        <f t="shared" si="397"/>
        <v>0</v>
      </c>
      <c r="BA563" s="2">
        <f t="shared" si="397"/>
        <v>0</v>
      </c>
      <c r="BB563" s="2">
        <f t="shared" si="397"/>
        <v>0</v>
      </c>
      <c r="BC563" s="2">
        <f t="shared" si="397"/>
        <v>0</v>
      </c>
      <c r="BD563" s="2">
        <f t="shared" si="397"/>
        <v>467.16</v>
      </c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>
        <v>0</v>
      </c>
    </row>
    <row r="565" spans="1:206" x14ac:dyDescent="0.2">
      <c r="A565" s="4">
        <v>50</v>
      </c>
      <c r="B565" s="4">
        <v>0</v>
      </c>
      <c r="C565" s="4">
        <v>0</v>
      </c>
      <c r="D565" s="4">
        <v>1</v>
      </c>
      <c r="E565" s="4">
        <v>201</v>
      </c>
      <c r="F565" s="4">
        <f>ROUND(Source!O563,O565)</f>
        <v>2184218.23</v>
      </c>
      <c r="G565" s="4" t="s">
        <v>82</v>
      </c>
      <c r="H565" s="4" t="s">
        <v>83</v>
      </c>
      <c r="I565" s="4"/>
      <c r="J565" s="4"/>
      <c r="K565" s="4">
        <v>201</v>
      </c>
      <c r="L565" s="4">
        <v>1</v>
      </c>
      <c r="M565" s="4">
        <v>3</v>
      </c>
      <c r="N565" s="4" t="s">
        <v>3</v>
      </c>
      <c r="O565" s="4">
        <v>2</v>
      </c>
      <c r="P565" s="4"/>
      <c r="Q565" s="4"/>
      <c r="R565" s="4"/>
      <c r="S565" s="4"/>
      <c r="T565" s="4"/>
      <c r="U565" s="4"/>
      <c r="V565" s="4"/>
      <c r="W565" s="4">
        <v>2184218.23</v>
      </c>
      <c r="X565" s="4">
        <v>1</v>
      </c>
      <c r="Y565" s="4">
        <v>2184218.23</v>
      </c>
      <c r="Z565" s="4"/>
      <c r="AA565" s="4"/>
      <c r="AB565" s="4"/>
    </row>
    <row r="566" spans="1:206" x14ac:dyDescent="0.2">
      <c r="A566" s="4">
        <v>50</v>
      </c>
      <c r="B566" s="4">
        <v>0</v>
      </c>
      <c r="C566" s="4">
        <v>0</v>
      </c>
      <c r="D566" s="4">
        <v>1</v>
      </c>
      <c r="E566" s="4">
        <v>202</v>
      </c>
      <c r="F566" s="4">
        <f>ROUND(Source!P563,O566)</f>
        <v>966613.95</v>
      </c>
      <c r="G566" s="4" t="s">
        <v>84</v>
      </c>
      <c r="H566" s="4" t="s">
        <v>85</v>
      </c>
      <c r="I566" s="4"/>
      <c r="J566" s="4"/>
      <c r="K566" s="4">
        <v>202</v>
      </c>
      <c r="L566" s="4">
        <v>2</v>
      </c>
      <c r="M566" s="4">
        <v>3</v>
      </c>
      <c r="N566" s="4" t="s">
        <v>3</v>
      </c>
      <c r="O566" s="4">
        <v>2</v>
      </c>
      <c r="P566" s="4"/>
      <c r="Q566" s="4"/>
      <c r="R566" s="4"/>
      <c r="S566" s="4"/>
      <c r="T566" s="4"/>
      <c r="U566" s="4"/>
      <c r="V566" s="4"/>
      <c r="W566" s="4">
        <v>966613.95</v>
      </c>
      <c r="X566" s="4">
        <v>1</v>
      </c>
      <c r="Y566" s="4">
        <v>966613.95</v>
      </c>
      <c r="Z566" s="4"/>
      <c r="AA566" s="4"/>
      <c r="AB566" s="4"/>
    </row>
    <row r="567" spans="1:206" x14ac:dyDescent="0.2">
      <c r="A567" s="4">
        <v>50</v>
      </c>
      <c r="B567" s="4">
        <v>0</v>
      </c>
      <c r="C567" s="4">
        <v>0</v>
      </c>
      <c r="D567" s="4">
        <v>1</v>
      </c>
      <c r="E567" s="4">
        <v>222</v>
      </c>
      <c r="F567" s="4">
        <f>ROUND(Source!AO563,O567)</f>
        <v>0</v>
      </c>
      <c r="G567" s="4" t="s">
        <v>86</v>
      </c>
      <c r="H567" s="4" t="s">
        <v>87</v>
      </c>
      <c r="I567" s="4"/>
      <c r="J567" s="4"/>
      <c r="K567" s="4">
        <v>222</v>
      </c>
      <c r="L567" s="4">
        <v>3</v>
      </c>
      <c r="M567" s="4">
        <v>3</v>
      </c>
      <c r="N567" s="4" t="s">
        <v>3</v>
      </c>
      <c r="O567" s="4">
        <v>2</v>
      </c>
      <c r="P567" s="4"/>
      <c r="Q567" s="4"/>
      <c r="R567" s="4"/>
      <c r="S567" s="4"/>
      <c r="T567" s="4"/>
      <c r="U567" s="4"/>
      <c r="V567" s="4"/>
      <c r="W567" s="4">
        <v>0</v>
      </c>
      <c r="X567" s="4">
        <v>1</v>
      </c>
      <c r="Y567" s="4">
        <v>0</v>
      </c>
      <c r="Z567" s="4"/>
      <c r="AA567" s="4"/>
      <c r="AB567" s="4"/>
    </row>
    <row r="568" spans="1:206" x14ac:dyDescent="0.2">
      <c r="A568" s="4">
        <v>50</v>
      </c>
      <c r="B568" s="4">
        <v>0</v>
      </c>
      <c r="C568" s="4">
        <v>0</v>
      </c>
      <c r="D568" s="4">
        <v>1</v>
      </c>
      <c r="E568" s="4">
        <v>225</v>
      </c>
      <c r="F568" s="4">
        <f>ROUND(Source!AV563,O568)</f>
        <v>966613.95</v>
      </c>
      <c r="G568" s="4" t="s">
        <v>88</v>
      </c>
      <c r="H568" s="4" t="s">
        <v>89</v>
      </c>
      <c r="I568" s="4"/>
      <c r="J568" s="4"/>
      <c r="K568" s="4">
        <v>225</v>
      </c>
      <c r="L568" s="4">
        <v>4</v>
      </c>
      <c r="M568" s="4">
        <v>3</v>
      </c>
      <c r="N568" s="4" t="s">
        <v>3</v>
      </c>
      <c r="O568" s="4">
        <v>2</v>
      </c>
      <c r="P568" s="4"/>
      <c r="Q568" s="4"/>
      <c r="R568" s="4"/>
      <c r="S568" s="4"/>
      <c r="T568" s="4"/>
      <c r="U568" s="4"/>
      <c r="V568" s="4"/>
      <c r="W568" s="4">
        <v>966613.95</v>
      </c>
      <c r="X568" s="4">
        <v>1</v>
      </c>
      <c r="Y568" s="4">
        <v>966613.95</v>
      </c>
      <c r="Z568" s="4"/>
      <c r="AA568" s="4"/>
      <c r="AB568" s="4"/>
    </row>
    <row r="569" spans="1:206" x14ac:dyDescent="0.2">
      <c r="A569" s="4">
        <v>50</v>
      </c>
      <c r="B569" s="4">
        <v>0</v>
      </c>
      <c r="C569" s="4">
        <v>0</v>
      </c>
      <c r="D569" s="4">
        <v>1</v>
      </c>
      <c r="E569" s="4">
        <v>226</v>
      </c>
      <c r="F569" s="4">
        <f>ROUND(Source!AW563,O569)</f>
        <v>966613.95</v>
      </c>
      <c r="G569" s="4" t="s">
        <v>90</v>
      </c>
      <c r="H569" s="4" t="s">
        <v>91</v>
      </c>
      <c r="I569" s="4"/>
      <c r="J569" s="4"/>
      <c r="K569" s="4">
        <v>226</v>
      </c>
      <c r="L569" s="4">
        <v>5</v>
      </c>
      <c r="M569" s="4">
        <v>3</v>
      </c>
      <c r="N569" s="4" t="s">
        <v>3</v>
      </c>
      <c r="O569" s="4">
        <v>2</v>
      </c>
      <c r="P569" s="4"/>
      <c r="Q569" s="4"/>
      <c r="R569" s="4"/>
      <c r="S569" s="4"/>
      <c r="T569" s="4"/>
      <c r="U569" s="4"/>
      <c r="V569" s="4"/>
      <c r="W569" s="4">
        <v>966613.95</v>
      </c>
      <c r="X569" s="4">
        <v>1</v>
      </c>
      <c r="Y569" s="4">
        <v>966613.95</v>
      </c>
      <c r="Z569" s="4"/>
      <c r="AA569" s="4"/>
      <c r="AB569" s="4"/>
    </row>
    <row r="570" spans="1:206" x14ac:dyDescent="0.2">
      <c r="A570" s="4">
        <v>50</v>
      </c>
      <c r="B570" s="4">
        <v>0</v>
      </c>
      <c r="C570" s="4">
        <v>0</v>
      </c>
      <c r="D570" s="4">
        <v>1</v>
      </c>
      <c r="E570" s="4">
        <v>227</v>
      </c>
      <c r="F570" s="4">
        <f>ROUND(Source!AX563,O570)</f>
        <v>0</v>
      </c>
      <c r="G570" s="4" t="s">
        <v>92</v>
      </c>
      <c r="H570" s="4" t="s">
        <v>93</v>
      </c>
      <c r="I570" s="4"/>
      <c r="J570" s="4"/>
      <c r="K570" s="4">
        <v>227</v>
      </c>
      <c r="L570" s="4">
        <v>6</v>
      </c>
      <c r="M570" s="4">
        <v>3</v>
      </c>
      <c r="N570" s="4" t="s">
        <v>3</v>
      </c>
      <c r="O570" s="4">
        <v>2</v>
      </c>
      <c r="P570" s="4"/>
      <c r="Q570" s="4"/>
      <c r="R570" s="4"/>
      <c r="S570" s="4"/>
      <c r="T570" s="4"/>
      <c r="U570" s="4"/>
      <c r="V570" s="4"/>
      <c r="W570" s="4">
        <v>0</v>
      </c>
      <c r="X570" s="4">
        <v>1</v>
      </c>
      <c r="Y570" s="4">
        <v>0</v>
      </c>
      <c r="Z570" s="4"/>
      <c r="AA570" s="4"/>
      <c r="AB570" s="4"/>
    </row>
    <row r="571" spans="1:206" x14ac:dyDescent="0.2">
      <c r="A571" s="4">
        <v>50</v>
      </c>
      <c r="B571" s="4">
        <v>0</v>
      </c>
      <c r="C571" s="4">
        <v>0</v>
      </c>
      <c r="D571" s="4">
        <v>1</v>
      </c>
      <c r="E571" s="4">
        <v>228</v>
      </c>
      <c r="F571" s="4">
        <f>ROUND(Source!AY563,O571)</f>
        <v>966613.95</v>
      </c>
      <c r="G571" s="4" t="s">
        <v>94</v>
      </c>
      <c r="H571" s="4" t="s">
        <v>95</v>
      </c>
      <c r="I571" s="4"/>
      <c r="J571" s="4"/>
      <c r="K571" s="4">
        <v>228</v>
      </c>
      <c r="L571" s="4">
        <v>7</v>
      </c>
      <c r="M571" s="4">
        <v>3</v>
      </c>
      <c r="N571" s="4" t="s">
        <v>3</v>
      </c>
      <c r="O571" s="4">
        <v>2</v>
      </c>
      <c r="P571" s="4"/>
      <c r="Q571" s="4"/>
      <c r="R571" s="4"/>
      <c r="S571" s="4"/>
      <c r="T571" s="4"/>
      <c r="U571" s="4"/>
      <c r="V571" s="4"/>
      <c r="W571" s="4">
        <v>966613.95</v>
      </c>
      <c r="X571" s="4">
        <v>1</v>
      </c>
      <c r="Y571" s="4">
        <v>966613.95</v>
      </c>
      <c r="Z571" s="4"/>
      <c r="AA571" s="4"/>
      <c r="AB571" s="4"/>
    </row>
    <row r="572" spans="1:206" x14ac:dyDescent="0.2">
      <c r="A572" s="4">
        <v>50</v>
      </c>
      <c r="B572" s="4">
        <v>0</v>
      </c>
      <c r="C572" s="4">
        <v>0</v>
      </c>
      <c r="D572" s="4">
        <v>1</v>
      </c>
      <c r="E572" s="4">
        <v>216</v>
      </c>
      <c r="F572" s="4">
        <f>ROUND(Source!AP563,O572)</f>
        <v>0</v>
      </c>
      <c r="G572" s="4" t="s">
        <v>96</v>
      </c>
      <c r="H572" s="4" t="s">
        <v>97</v>
      </c>
      <c r="I572" s="4"/>
      <c r="J572" s="4"/>
      <c r="K572" s="4">
        <v>216</v>
      </c>
      <c r="L572" s="4">
        <v>8</v>
      </c>
      <c r="M572" s="4">
        <v>3</v>
      </c>
      <c r="N572" s="4" t="s">
        <v>3</v>
      </c>
      <c r="O572" s="4">
        <v>2</v>
      </c>
      <c r="P572" s="4"/>
      <c r="Q572" s="4"/>
      <c r="R572" s="4"/>
      <c r="S572" s="4"/>
      <c r="T572" s="4"/>
      <c r="U572" s="4"/>
      <c r="V572" s="4"/>
      <c r="W572" s="4">
        <v>0</v>
      </c>
      <c r="X572" s="4">
        <v>1</v>
      </c>
      <c r="Y572" s="4">
        <v>0</v>
      </c>
      <c r="Z572" s="4"/>
      <c r="AA572" s="4"/>
      <c r="AB572" s="4"/>
    </row>
    <row r="573" spans="1:206" x14ac:dyDescent="0.2">
      <c r="A573" s="4">
        <v>50</v>
      </c>
      <c r="B573" s="4">
        <v>0</v>
      </c>
      <c r="C573" s="4">
        <v>0</v>
      </c>
      <c r="D573" s="4">
        <v>1</v>
      </c>
      <c r="E573" s="4">
        <v>223</v>
      </c>
      <c r="F573" s="4">
        <f>ROUND(Source!AQ563,O573)</f>
        <v>0</v>
      </c>
      <c r="G573" s="4" t="s">
        <v>98</v>
      </c>
      <c r="H573" s="4" t="s">
        <v>99</v>
      </c>
      <c r="I573" s="4"/>
      <c r="J573" s="4"/>
      <c r="K573" s="4">
        <v>223</v>
      </c>
      <c r="L573" s="4">
        <v>9</v>
      </c>
      <c r="M573" s="4">
        <v>3</v>
      </c>
      <c r="N573" s="4" t="s">
        <v>3</v>
      </c>
      <c r="O573" s="4">
        <v>2</v>
      </c>
      <c r="P573" s="4"/>
      <c r="Q573" s="4"/>
      <c r="R573" s="4"/>
      <c r="S573" s="4"/>
      <c r="T573" s="4"/>
      <c r="U573" s="4"/>
      <c r="V573" s="4"/>
      <c r="W573" s="4">
        <v>0</v>
      </c>
      <c r="X573" s="4">
        <v>1</v>
      </c>
      <c r="Y573" s="4">
        <v>0</v>
      </c>
      <c r="Z573" s="4"/>
      <c r="AA573" s="4"/>
      <c r="AB573" s="4"/>
    </row>
    <row r="574" spans="1:206" x14ac:dyDescent="0.2">
      <c r="A574" s="4">
        <v>50</v>
      </c>
      <c r="B574" s="4">
        <v>0</v>
      </c>
      <c r="C574" s="4">
        <v>0</v>
      </c>
      <c r="D574" s="4">
        <v>1</v>
      </c>
      <c r="E574" s="4">
        <v>229</v>
      </c>
      <c r="F574" s="4">
        <f>ROUND(Source!AZ563,O574)</f>
        <v>0</v>
      </c>
      <c r="G574" s="4" t="s">
        <v>100</v>
      </c>
      <c r="H574" s="4" t="s">
        <v>101</v>
      </c>
      <c r="I574" s="4"/>
      <c r="J574" s="4"/>
      <c r="K574" s="4">
        <v>229</v>
      </c>
      <c r="L574" s="4">
        <v>10</v>
      </c>
      <c r="M574" s="4">
        <v>3</v>
      </c>
      <c r="N574" s="4" t="s">
        <v>3</v>
      </c>
      <c r="O574" s="4">
        <v>2</v>
      </c>
      <c r="P574" s="4"/>
      <c r="Q574" s="4"/>
      <c r="R574" s="4"/>
      <c r="S574" s="4"/>
      <c r="T574" s="4"/>
      <c r="U574" s="4"/>
      <c r="V574" s="4"/>
      <c r="W574" s="4">
        <v>0</v>
      </c>
      <c r="X574" s="4">
        <v>1</v>
      </c>
      <c r="Y574" s="4">
        <v>0</v>
      </c>
      <c r="Z574" s="4"/>
      <c r="AA574" s="4"/>
      <c r="AB574" s="4"/>
    </row>
    <row r="575" spans="1:206" x14ac:dyDescent="0.2">
      <c r="A575" s="4">
        <v>50</v>
      </c>
      <c r="B575" s="4">
        <v>0</v>
      </c>
      <c r="C575" s="4">
        <v>0</v>
      </c>
      <c r="D575" s="4">
        <v>1</v>
      </c>
      <c r="E575" s="4">
        <v>203</v>
      </c>
      <c r="F575" s="4">
        <f>ROUND(Source!Q563,O575)</f>
        <v>467699.64</v>
      </c>
      <c r="G575" s="4" t="s">
        <v>102</v>
      </c>
      <c r="H575" s="4" t="s">
        <v>103</v>
      </c>
      <c r="I575" s="4"/>
      <c r="J575" s="4"/>
      <c r="K575" s="4">
        <v>203</v>
      </c>
      <c r="L575" s="4">
        <v>11</v>
      </c>
      <c r="M575" s="4">
        <v>3</v>
      </c>
      <c r="N575" s="4" t="s">
        <v>3</v>
      </c>
      <c r="O575" s="4">
        <v>2</v>
      </c>
      <c r="P575" s="4"/>
      <c r="Q575" s="4"/>
      <c r="R575" s="4"/>
      <c r="S575" s="4"/>
      <c r="T575" s="4"/>
      <c r="U575" s="4"/>
      <c r="V575" s="4"/>
      <c r="W575" s="4">
        <v>467699.64</v>
      </c>
      <c r="X575" s="4">
        <v>1</v>
      </c>
      <c r="Y575" s="4">
        <v>467699.64</v>
      </c>
      <c r="Z575" s="4"/>
      <c r="AA575" s="4"/>
      <c r="AB575" s="4"/>
    </row>
    <row r="576" spans="1:206" x14ac:dyDescent="0.2">
      <c r="A576" s="4">
        <v>50</v>
      </c>
      <c r="B576" s="4">
        <v>0</v>
      </c>
      <c r="C576" s="4">
        <v>0</v>
      </c>
      <c r="D576" s="4">
        <v>1</v>
      </c>
      <c r="E576" s="4">
        <v>231</v>
      </c>
      <c r="F576" s="4">
        <f>ROUND(Source!BB563,O576)</f>
        <v>0</v>
      </c>
      <c r="G576" s="4" t="s">
        <v>104</v>
      </c>
      <c r="H576" s="4" t="s">
        <v>105</v>
      </c>
      <c r="I576" s="4"/>
      <c r="J576" s="4"/>
      <c r="K576" s="4">
        <v>231</v>
      </c>
      <c r="L576" s="4">
        <v>12</v>
      </c>
      <c r="M576" s="4">
        <v>3</v>
      </c>
      <c r="N576" s="4" t="s">
        <v>3</v>
      </c>
      <c r="O576" s="4">
        <v>2</v>
      </c>
      <c r="P576" s="4"/>
      <c r="Q576" s="4"/>
      <c r="R576" s="4"/>
      <c r="S576" s="4"/>
      <c r="T576" s="4"/>
      <c r="U576" s="4"/>
      <c r="V576" s="4"/>
      <c r="W576" s="4">
        <v>0</v>
      </c>
      <c r="X576" s="4">
        <v>1</v>
      </c>
      <c r="Y576" s="4">
        <v>0</v>
      </c>
      <c r="Z576" s="4"/>
      <c r="AA576" s="4"/>
      <c r="AB576" s="4"/>
    </row>
    <row r="577" spans="1:28" x14ac:dyDescent="0.2">
      <c r="A577" s="4">
        <v>50</v>
      </c>
      <c r="B577" s="4">
        <v>0</v>
      </c>
      <c r="C577" s="4">
        <v>0</v>
      </c>
      <c r="D577" s="4">
        <v>1</v>
      </c>
      <c r="E577" s="4">
        <v>204</v>
      </c>
      <c r="F577" s="4">
        <f>ROUND(Source!R563,O577)</f>
        <v>119672.7</v>
      </c>
      <c r="G577" s="4" t="s">
        <v>106</v>
      </c>
      <c r="H577" s="4" t="s">
        <v>107</v>
      </c>
      <c r="I577" s="4"/>
      <c r="J577" s="4"/>
      <c r="K577" s="4">
        <v>204</v>
      </c>
      <c r="L577" s="4">
        <v>13</v>
      </c>
      <c r="M577" s="4">
        <v>3</v>
      </c>
      <c r="N577" s="4" t="s">
        <v>3</v>
      </c>
      <c r="O577" s="4">
        <v>2</v>
      </c>
      <c r="P577" s="4"/>
      <c r="Q577" s="4"/>
      <c r="R577" s="4"/>
      <c r="S577" s="4"/>
      <c r="T577" s="4"/>
      <c r="U577" s="4"/>
      <c r="V577" s="4"/>
      <c r="W577" s="4">
        <v>119672.7</v>
      </c>
      <c r="X577" s="4">
        <v>1</v>
      </c>
      <c r="Y577" s="4">
        <v>119672.7</v>
      </c>
      <c r="Z577" s="4"/>
      <c r="AA577" s="4"/>
      <c r="AB577" s="4"/>
    </row>
    <row r="578" spans="1:28" x14ac:dyDescent="0.2">
      <c r="A578" s="4">
        <v>50</v>
      </c>
      <c r="B578" s="4">
        <v>0</v>
      </c>
      <c r="C578" s="4">
        <v>0</v>
      </c>
      <c r="D578" s="4">
        <v>1</v>
      </c>
      <c r="E578" s="4">
        <v>205</v>
      </c>
      <c r="F578" s="4">
        <f>ROUND(Source!S563,O578)</f>
        <v>749904.64</v>
      </c>
      <c r="G578" s="4" t="s">
        <v>108</v>
      </c>
      <c r="H578" s="4" t="s">
        <v>109</v>
      </c>
      <c r="I578" s="4"/>
      <c r="J578" s="4"/>
      <c r="K578" s="4">
        <v>205</v>
      </c>
      <c r="L578" s="4">
        <v>14</v>
      </c>
      <c r="M578" s="4">
        <v>3</v>
      </c>
      <c r="N578" s="4" t="s">
        <v>3</v>
      </c>
      <c r="O578" s="4">
        <v>2</v>
      </c>
      <c r="P578" s="4"/>
      <c r="Q578" s="4"/>
      <c r="R578" s="4"/>
      <c r="S578" s="4"/>
      <c r="T578" s="4"/>
      <c r="U578" s="4"/>
      <c r="V578" s="4"/>
      <c r="W578" s="4">
        <v>749904.64</v>
      </c>
      <c r="X578" s="4">
        <v>1</v>
      </c>
      <c r="Y578" s="4">
        <v>749904.64</v>
      </c>
      <c r="Z578" s="4"/>
      <c r="AA578" s="4"/>
      <c r="AB578" s="4"/>
    </row>
    <row r="579" spans="1:28" x14ac:dyDescent="0.2">
      <c r="A579" s="4">
        <v>50</v>
      </c>
      <c r="B579" s="4">
        <v>0</v>
      </c>
      <c r="C579" s="4">
        <v>0</v>
      </c>
      <c r="D579" s="4">
        <v>1</v>
      </c>
      <c r="E579" s="4">
        <v>232</v>
      </c>
      <c r="F579" s="4">
        <f>ROUND(Source!BC563,O579)</f>
        <v>0</v>
      </c>
      <c r="G579" s="4" t="s">
        <v>110</v>
      </c>
      <c r="H579" s="4" t="s">
        <v>111</v>
      </c>
      <c r="I579" s="4"/>
      <c r="J579" s="4"/>
      <c r="K579" s="4">
        <v>232</v>
      </c>
      <c r="L579" s="4">
        <v>15</v>
      </c>
      <c r="M579" s="4">
        <v>3</v>
      </c>
      <c r="N579" s="4" t="s">
        <v>3</v>
      </c>
      <c r="O579" s="4">
        <v>2</v>
      </c>
      <c r="P579" s="4"/>
      <c r="Q579" s="4"/>
      <c r="R579" s="4"/>
      <c r="S579" s="4"/>
      <c r="T579" s="4"/>
      <c r="U579" s="4"/>
      <c r="V579" s="4"/>
      <c r="W579" s="4">
        <v>0</v>
      </c>
      <c r="X579" s="4">
        <v>1</v>
      </c>
      <c r="Y579" s="4">
        <v>0</v>
      </c>
      <c r="Z579" s="4"/>
      <c r="AA579" s="4"/>
      <c r="AB579" s="4"/>
    </row>
    <row r="580" spans="1:28" x14ac:dyDescent="0.2">
      <c r="A580" s="4">
        <v>50</v>
      </c>
      <c r="B580" s="4">
        <v>0</v>
      </c>
      <c r="C580" s="4">
        <v>0</v>
      </c>
      <c r="D580" s="4">
        <v>1</v>
      </c>
      <c r="E580" s="4">
        <v>214</v>
      </c>
      <c r="F580" s="4">
        <f>ROUND(Source!AS563,O580)</f>
        <v>3722015.81</v>
      </c>
      <c r="G580" s="4" t="s">
        <v>112</v>
      </c>
      <c r="H580" s="4" t="s">
        <v>113</v>
      </c>
      <c r="I580" s="4"/>
      <c r="J580" s="4"/>
      <c r="K580" s="4">
        <v>214</v>
      </c>
      <c r="L580" s="4">
        <v>16</v>
      </c>
      <c r="M580" s="4">
        <v>3</v>
      </c>
      <c r="N580" s="4" t="s">
        <v>3</v>
      </c>
      <c r="O580" s="4">
        <v>2</v>
      </c>
      <c r="P580" s="4"/>
      <c r="Q580" s="4"/>
      <c r="R580" s="4"/>
      <c r="S580" s="4"/>
      <c r="T580" s="4"/>
      <c r="U580" s="4"/>
      <c r="V580" s="4"/>
      <c r="W580" s="4">
        <v>3722015.81</v>
      </c>
      <c r="X580" s="4">
        <v>1</v>
      </c>
      <c r="Y580" s="4">
        <v>3722015.81</v>
      </c>
      <c r="Z580" s="4"/>
      <c r="AA580" s="4"/>
      <c r="AB580" s="4"/>
    </row>
    <row r="581" spans="1:28" x14ac:dyDescent="0.2">
      <c r="A581" s="4">
        <v>50</v>
      </c>
      <c r="B581" s="4">
        <v>0</v>
      </c>
      <c r="C581" s="4">
        <v>0</v>
      </c>
      <c r="D581" s="4">
        <v>1</v>
      </c>
      <c r="E581" s="4">
        <v>215</v>
      </c>
      <c r="F581" s="4">
        <f>ROUND(Source!AT563,O581)</f>
        <v>23056.42</v>
      </c>
      <c r="G581" s="4" t="s">
        <v>114</v>
      </c>
      <c r="H581" s="4" t="s">
        <v>115</v>
      </c>
      <c r="I581" s="4"/>
      <c r="J581" s="4"/>
      <c r="K581" s="4">
        <v>215</v>
      </c>
      <c r="L581" s="4">
        <v>17</v>
      </c>
      <c r="M581" s="4">
        <v>3</v>
      </c>
      <c r="N581" s="4" t="s">
        <v>3</v>
      </c>
      <c r="O581" s="4">
        <v>2</v>
      </c>
      <c r="P581" s="4"/>
      <c r="Q581" s="4"/>
      <c r="R581" s="4"/>
      <c r="S581" s="4"/>
      <c r="T581" s="4"/>
      <c r="U581" s="4"/>
      <c r="V581" s="4"/>
      <c r="W581" s="4">
        <v>23056.42</v>
      </c>
      <c r="X581" s="4">
        <v>1</v>
      </c>
      <c r="Y581" s="4">
        <v>23056.42</v>
      </c>
      <c r="Z581" s="4"/>
      <c r="AA581" s="4"/>
      <c r="AB581" s="4"/>
    </row>
    <row r="582" spans="1:28" x14ac:dyDescent="0.2">
      <c r="A582" s="4">
        <v>50</v>
      </c>
      <c r="B582" s="4">
        <v>0</v>
      </c>
      <c r="C582" s="4">
        <v>0</v>
      </c>
      <c r="D582" s="4">
        <v>1</v>
      </c>
      <c r="E582" s="4">
        <v>217</v>
      </c>
      <c r="F582" s="4">
        <f>ROUND(Source!AU563,O582)</f>
        <v>0</v>
      </c>
      <c r="G582" s="4" t="s">
        <v>116</v>
      </c>
      <c r="H582" s="4" t="s">
        <v>117</v>
      </c>
      <c r="I582" s="4"/>
      <c r="J582" s="4"/>
      <c r="K582" s="4">
        <v>217</v>
      </c>
      <c r="L582" s="4">
        <v>18</v>
      </c>
      <c r="M582" s="4">
        <v>3</v>
      </c>
      <c r="N582" s="4" t="s">
        <v>3</v>
      </c>
      <c r="O582" s="4">
        <v>2</v>
      </c>
      <c r="P582" s="4"/>
      <c r="Q582" s="4"/>
      <c r="R582" s="4"/>
      <c r="S582" s="4"/>
      <c r="T582" s="4"/>
      <c r="U582" s="4"/>
      <c r="V582" s="4"/>
      <c r="W582" s="4">
        <v>0</v>
      </c>
      <c r="X582" s="4">
        <v>1</v>
      </c>
      <c r="Y582" s="4">
        <v>0</v>
      </c>
      <c r="Z582" s="4"/>
      <c r="AA582" s="4"/>
      <c r="AB582" s="4"/>
    </row>
    <row r="583" spans="1:28" x14ac:dyDescent="0.2">
      <c r="A583" s="4">
        <v>50</v>
      </c>
      <c r="B583" s="4">
        <v>0</v>
      </c>
      <c r="C583" s="4">
        <v>0</v>
      </c>
      <c r="D583" s="4">
        <v>1</v>
      </c>
      <c r="E583" s="4">
        <v>230</v>
      </c>
      <c r="F583" s="4">
        <f>ROUND(Source!BA563,O583)</f>
        <v>0</v>
      </c>
      <c r="G583" s="4" t="s">
        <v>118</v>
      </c>
      <c r="H583" s="4" t="s">
        <v>119</v>
      </c>
      <c r="I583" s="4"/>
      <c r="J583" s="4"/>
      <c r="K583" s="4">
        <v>230</v>
      </c>
      <c r="L583" s="4">
        <v>19</v>
      </c>
      <c r="M583" s="4">
        <v>3</v>
      </c>
      <c r="N583" s="4" t="s">
        <v>3</v>
      </c>
      <c r="O583" s="4">
        <v>2</v>
      </c>
      <c r="P583" s="4"/>
      <c r="Q583" s="4"/>
      <c r="R583" s="4"/>
      <c r="S583" s="4"/>
      <c r="T583" s="4"/>
      <c r="U583" s="4"/>
      <c r="V583" s="4"/>
      <c r="W583" s="4">
        <v>0</v>
      </c>
      <c r="X583" s="4">
        <v>1</v>
      </c>
      <c r="Y583" s="4">
        <v>0</v>
      </c>
      <c r="Z583" s="4"/>
      <c r="AA583" s="4"/>
      <c r="AB583" s="4"/>
    </row>
    <row r="584" spans="1:28" x14ac:dyDescent="0.2">
      <c r="A584" s="4">
        <v>50</v>
      </c>
      <c r="B584" s="4">
        <v>0</v>
      </c>
      <c r="C584" s="4">
        <v>0</v>
      </c>
      <c r="D584" s="4">
        <v>1</v>
      </c>
      <c r="E584" s="4">
        <v>206</v>
      </c>
      <c r="F584" s="4">
        <f>ROUND(Source!T563,O584)</f>
        <v>0</v>
      </c>
      <c r="G584" s="4" t="s">
        <v>120</v>
      </c>
      <c r="H584" s="4" t="s">
        <v>121</v>
      </c>
      <c r="I584" s="4"/>
      <c r="J584" s="4"/>
      <c r="K584" s="4">
        <v>206</v>
      </c>
      <c r="L584" s="4">
        <v>20</v>
      </c>
      <c r="M584" s="4">
        <v>3</v>
      </c>
      <c r="N584" s="4" t="s">
        <v>3</v>
      </c>
      <c r="O584" s="4">
        <v>2</v>
      </c>
      <c r="P584" s="4"/>
      <c r="Q584" s="4"/>
      <c r="R584" s="4"/>
      <c r="S584" s="4"/>
      <c r="T584" s="4"/>
      <c r="U584" s="4"/>
      <c r="V584" s="4"/>
      <c r="W584" s="4">
        <v>0</v>
      </c>
      <c r="X584" s="4">
        <v>1</v>
      </c>
      <c r="Y584" s="4">
        <v>0</v>
      </c>
      <c r="Z584" s="4"/>
      <c r="AA584" s="4"/>
      <c r="AB584" s="4"/>
    </row>
    <row r="585" spans="1:28" x14ac:dyDescent="0.2">
      <c r="A585" s="4">
        <v>50</v>
      </c>
      <c r="B585" s="4">
        <v>0</v>
      </c>
      <c r="C585" s="4">
        <v>0</v>
      </c>
      <c r="D585" s="4">
        <v>1</v>
      </c>
      <c r="E585" s="4">
        <v>207</v>
      </c>
      <c r="F585" s="4">
        <f>Source!U563</f>
        <v>2469.4044460000005</v>
      </c>
      <c r="G585" s="4" t="s">
        <v>122</v>
      </c>
      <c r="H585" s="4" t="s">
        <v>123</v>
      </c>
      <c r="I585" s="4"/>
      <c r="J585" s="4"/>
      <c r="K585" s="4">
        <v>207</v>
      </c>
      <c r="L585" s="4">
        <v>21</v>
      </c>
      <c r="M585" s="4">
        <v>3</v>
      </c>
      <c r="N585" s="4" t="s">
        <v>3</v>
      </c>
      <c r="O585" s="4">
        <v>-1</v>
      </c>
      <c r="P585" s="4"/>
      <c r="Q585" s="4"/>
      <c r="R585" s="4"/>
      <c r="S585" s="4"/>
      <c r="T585" s="4"/>
      <c r="U585" s="4"/>
      <c r="V585" s="4"/>
      <c r="W585" s="4">
        <v>2469.4044459999986</v>
      </c>
      <c r="X585" s="4">
        <v>1</v>
      </c>
      <c r="Y585" s="4">
        <v>2469.4044459999986</v>
      </c>
      <c r="Z585" s="4"/>
      <c r="AA585" s="4"/>
      <c r="AB585" s="4"/>
    </row>
    <row r="586" spans="1:28" x14ac:dyDescent="0.2">
      <c r="A586" s="4">
        <v>50</v>
      </c>
      <c r="B586" s="4">
        <v>0</v>
      </c>
      <c r="C586" s="4">
        <v>0</v>
      </c>
      <c r="D586" s="4">
        <v>1</v>
      </c>
      <c r="E586" s="4">
        <v>208</v>
      </c>
      <c r="F586" s="4">
        <f>Source!V563</f>
        <v>285.08076099999994</v>
      </c>
      <c r="G586" s="4" t="s">
        <v>124</v>
      </c>
      <c r="H586" s="4" t="s">
        <v>125</v>
      </c>
      <c r="I586" s="4"/>
      <c r="J586" s="4"/>
      <c r="K586" s="4">
        <v>208</v>
      </c>
      <c r="L586" s="4">
        <v>22</v>
      </c>
      <c r="M586" s="4">
        <v>3</v>
      </c>
      <c r="N586" s="4" t="s">
        <v>3</v>
      </c>
      <c r="O586" s="4">
        <v>-1</v>
      </c>
      <c r="P586" s="4"/>
      <c r="Q586" s="4"/>
      <c r="R586" s="4"/>
      <c r="S586" s="4"/>
      <c r="T586" s="4"/>
      <c r="U586" s="4"/>
      <c r="V586" s="4"/>
      <c r="W586" s="4">
        <v>285.08076100000005</v>
      </c>
      <c r="X586" s="4">
        <v>1</v>
      </c>
      <c r="Y586" s="4">
        <v>285.08076100000005</v>
      </c>
      <c r="Z586" s="4"/>
      <c r="AA586" s="4"/>
      <c r="AB586" s="4"/>
    </row>
    <row r="587" spans="1:28" x14ac:dyDescent="0.2">
      <c r="A587" s="4">
        <v>50</v>
      </c>
      <c r="B587" s="4">
        <v>0</v>
      </c>
      <c r="C587" s="4">
        <v>0</v>
      </c>
      <c r="D587" s="4">
        <v>1</v>
      </c>
      <c r="E587" s="4">
        <v>209</v>
      </c>
      <c r="F587" s="4">
        <f>ROUND(Source!W563,O587)</f>
        <v>0</v>
      </c>
      <c r="G587" s="4" t="s">
        <v>126</v>
      </c>
      <c r="H587" s="4" t="s">
        <v>127</v>
      </c>
      <c r="I587" s="4"/>
      <c r="J587" s="4"/>
      <c r="K587" s="4">
        <v>209</v>
      </c>
      <c r="L587" s="4">
        <v>23</v>
      </c>
      <c r="M587" s="4">
        <v>3</v>
      </c>
      <c r="N587" s="4" t="s">
        <v>3</v>
      </c>
      <c r="O587" s="4">
        <v>2</v>
      </c>
      <c r="P587" s="4"/>
      <c r="Q587" s="4"/>
      <c r="R587" s="4"/>
      <c r="S587" s="4"/>
      <c r="T587" s="4"/>
      <c r="U587" s="4"/>
      <c r="V587" s="4"/>
      <c r="W587" s="4">
        <v>0</v>
      </c>
      <c r="X587" s="4">
        <v>1</v>
      </c>
      <c r="Y587" s="4">
        <v>0</v>
      </c>
      <c r="Z587" s="4"/>
      <c r="AA587" s="4"/>
      <c r="AB587" s="4"/>
    </row>
    <row r="588" spans="1:28" x14ac:dyDescent="0.2">
      <c r="A588" s="4">
        <v>50</v>
      </c>
      <c r="B588" s="4">
        <v>0</v>
      </c>
      <c r="C588" s="4">
        <v>0</v>
      </c>
      <c r="D588" s="4">
        <v>1</v>
      </c>
      <c r="E588" s="4">
        <v>233</v>
      </c>
      <c r="F588" s="4">
        <f>ROUND(Source!BD563,O588)</f>
        <v>467.16</v>
      </c>
      <c r="G588" s="4" t="s">
        <v>128</v>
      </c>
      <c r="H588" s="4" t="s">
        <v>129</v>
      </c>
      <c r="I588" s="4"/>
      <c r="J588" s="4"/>
      <c r="K588" s="4">
        <v>233</v>
      </c>
      <c r="L588" s="4">
        <v>24</v>
      </c>
      <c r="M588" s="4">
        <v>3</v>
      </c>
      <c r="N588" s="4" t="s">
        <v>3</v>
      </c>
      <c r="O588" s="4">
        <v>2</v>
      </c>
      <c r="P588" s="4"/>
      <c r="Q588" s="4"/>
      <c r="R588" s="4"/>
      <c r="S588" s="4"/>
      <c r="T588" s="4"/>
      <c r="U588" s="4"/>
      <c r="V588" s="4"/>
      <c r="W588" s="4">
        <v>467.16</v>
      </c>
      <c r="X588" s="4">
        <v>1</v>
      </c>
      <c r="Y588" s="4">
        <v>467.16</v>
      </c>
      <c r="Z588" s="4"/>
      <c r="AA588" s="4"/>
      <c r="AB588" s="4"/>
    </row>
    <row r="589" spans="1:28" x14ac:dyDescent="0.2">
      <c r="A589" s="4">
        <v>50</v>
      </c>
      <c r="B589" s="4">
        <v>0</v>
      </c>
      <c r="C589" s="4">
        <v>0</v>
      </c>
      <c r="D589" s="4">
        <v>1</v>
      </c>
      <c r="E589" s="4">
        <v>210</v>
      </c>
      <c r="F589" s="4">
        <f>ROUND(Source!X563,O589)</f>
        <v>940723.5</v>
      </c>
      <c r="G589" s="4" t="s">
        <v>130</v>
      </c>
      <c r="H589" s="4" t="s">
        <v>131</v>
      </c>
      <c r="I589" s="4"/>
      <c r="J589" s="4"/>
      <c r="K589" s="4">
        <v>210</v>
      </c>
      <c r="L589" s="4">
        <v>25</v>
      </c>
      <c r="M589" s="4">
        <v>3</v>
      </c>
      <c r="N589" s="4" t="s">
        <v>3</v>
      </c>
      <c r="O589" s="4">
        <v>2</v>
      </c>
      <c r="P589" s="4"/>
      <c r="Q589" s="4"/>
      <c r="R589" s="4"/>
      <c r="S589" s="4"/>
      <c r="T589" s="4"/>
      <c r="U589" s="4"/>
      <c r="V589" s="4"/>
      <c r="W589" s="4">
        <v>940723.5</v>
      </c>
      <c r="X589" s="4">
        <v>1</v>
      </c>
      <c r="Y589" s="4">
        <v>940723.5</v>
      </c>
      <c r="Z589" s="4"/>
      <c r="AA589" s="4"/>
      <c r="AB589" s="4"/>
    </row>
    <row r="590" spans="1:28" x14ac:dyDescent="0.2">
      <c r="A590" s="4">
        <v>50</v>
      </c>
      <c r="B590" s="4">
        <v>0</v>
      </c>
      <c r="C590" s="4">
        <v>0</v>
      </c>
      <c r="D590" s="4">
        <v>1</v>
      </c>
      <c r="E590" s="4">
        <v>211</v>
      </c>
      <c r="F590" s="4">
        <f>ROUND(Source!Y563,O590)</f>
        <v>620130.5</v>
      </c>
      <c r="G590" s="4" t="s">
        <v>132</v>
      </c>
      <c r="H590" s="4" t="s">
        <v>133</v>
      </c>
      <c r="I590" s="4"/>
      <c r="J590" s="4"/>
      <c r="K590" s="4">
        <v>211</v>
      </c>
      <c r="L590" s="4">
        <v>26</v>
      </c>
      <c r="M590" s="4">
        <v>3</v>
      </c>
      <c r="N590" s="4" t="s">
        <v>3</v>
      </c>
      <c r="O590" s="4">
        <v>2</v>
      </c>
      <c r="P590" s="4"/>
      <c r="Q590" s="4"/>
      <c r="R590" s="4"/>
      <c r="S590" s="4"/>
      <c r="T590" s="4"/>
      <c r="U590" s="4"/>
      <c r="V590" s="4"/>
      <c r="W590" s="4">
        <v>620130.5</v>
      </c>
      <c r="X590" s="4">
        <v>1</v>
      </c>
      <c r="Y590" s="4">
        <v>620130.5</v>
      </c>
      <c r="Z590" s="4"/>
      <c r="AA590" s="4"/>
      <c r="AB590" s="4"/>
    </row>
    <row r="591" spans="1:28" x14ac:dyDescent="0.2">
      <c r="A591" s="4">
        <v>50</v>
      </c>
      <c r="B591" s="4">
        <v>0</v>
      </c>
      <c r="C591" s="4">
        <v>0</v>
      </c>
      <c r="D591" s="4">
        <v>1</v>
      </c>
      <c r="E591" s="4">
        <v>224</v>
      </c>
      <c r="F591" s="4">
        <f>ROUND(Source!AR563,O591)</f>
        <v>3745072.23</v>
      </c>
      <c r="G591" s="4" t="s">
        <v>134</v>
      </c>
      <c r="H591" s="4" t="s">
        <v>135</v>
      </c>
      <c r="I591" s="4"/>
      <c r="J591" s="4"/>
      <c r="K591" s="4">
        <v>224</v>
      </c>
      <c r="L591" s="4">
        <v>27</v>
      </c>
      <c r="M591" s="4">
        <v>3</v>
      </c>
      <c r="N591" s="4" t="s">
        <v>3</v>
      </c>
      <c r="O591" s="4">
        <v>2</v>
      </c>
      <c r="P591" s="4"/>
      <c r="Q591" s="4"/>
      <c r="R591" s="4"/>
      <c r="S591" s="4"/>
      <c r="T591" s="4"/>
      <c r="U591" s="4"/>
      <c r="V591" s="4"/>
      <c r="W591" s="4">
        <v>3745072.23</v>
      </c>
      <c r="X591" s="4">
        <v>1</v>
      </c>
      <c r="Y591" s="4">
        <v>3745072.23</v>
      </c>
      <c r="Z591" s="4"/>
      <c r="AA591" s="4"/>
      <c r="AB591" s="4"/>
    </row>
    <row r="592" spans="1:28" x14ac:dyDescent="0.2">
      <c r="A592" s="4">
        <v>50</v>
      </c>
      <c r="B592" s="4">
        <v>1</v>
      </c>
      <c r="C592" s="4">
        <v>0</v>
      </c>
      <c r="D592" s="4">
        <v>2</v>
      </c>
      <c r="E592" s="4">
        <v>0</v>
      </c>
      <c r="F592" s="4">
        <f>ROUND(F578,O592)</f>
        <v>749904.64</v>
      </c>
      <c r="G592" s="4" t="s">
        <v>136</v>
      </c>
      <c r="H592" s="4" t="s">
        <v>108</v>
      </c>
      <c r="I592" s="4"/>
      <c r="J592" s="4"/>
      <c r="K592" s="4">
        <v>212</v>
      </c>
      <c r="L592" s="4">
        <v>28</v>
      </c>
      <c r="M592" s="4">
        <v>0</v>
      </c>
      <c r="N592" s="4" t="s">
        <v>3</v>
      </c>
      <c r="O592" s="4">
        <v>2</v>
      </c>
      <c r="P592" s="4"/>
      <c r="Q592" s="4"/>
      <c r="R592" s="4"/>
      <c r="S592" s="4"/>
      <c r="T592" s="4"/>
      <c r="U592" s="4"/>
      <c r="V592" s="4"/>
      <c r="W592" s="4">
        <v>749904.64</v>
      </c>
      <c r="X592" s="4">
        <v>1</v>
      </c>
      <c r="Y592" s="4">
        <v>749904.64</v>
      </c>
      <c r="Z592" s="4"/>
      <c r="AA592" s="4"/>
      <c r="AB592" s="4"/>
    </row>
    <row r="593" spans="1:28" x14ac:dyDescent="0.2">
      <c r="A593" s="4">
        <v>50</v>
      </c>
      <c r="B593" s="4">
        <v>1</v>
      </c>
      <c r="C593" s="4">
        <v>0</v>
      </c>
      <c r="D593" s="4">
        <v>2</v>
      </c>
      <c r="E593" s="4">
        <v>0</v>
      </c>
      <c r="F593" s="4">
        <f>ROUND(F575,O593)</f>
        <v>467699.64</v>
      </c>
      <c r="G593" s="4" t="s">
        <v>137</v>
      </c>
      <c r="H593" s="4" t="s">
        <v>138</v>
      </c>
      <c r="I593" s="4"/>
      <c r="J593" s="4"/>
      <c r="K593" s="4">
        <v>212</v>
      </c>
      <c r="L593" s="4">
        <v>29</v>
      </c>
      <c r="M593" s="4">
        <v>0</v>
      </c>
      <c r="N593" s="4" t="s">
        <v>3</v>
      </c>
      <c r="O593" s="4">
        <v>2</v>
      </c>
      <c r="P593" s="4"/>
      <c r="Q593" s="4"/>
      <c r="R593" s="4"/>
      <c r="S593" s="4"/>
      <c r="T593" s="4"/>
      <c r="U593" s="4"/>
      <c r="V593" s="4"/>
      <c r="W593" s="4">
        <v>467699.64</v>
      </c>
      <c r="X593" s="4">
        <v>1</v>
      </c>
      <c r="Y593" s="4">
        <v>467699.64</v>
      </c>
      <c r="Z593" s="4"/>
      <c r="AA593" s="4"/>
      <c r="AB593" s="4"/>
    </row>
    <row r="594" spans="1:28" x14ac:dyDescent="0.2">
      <c r="A594" s="4">
        <v>50</v>
      </c>
      <c r="B594" s="4">
        <v>1</v>
      </c>
      <c r="C594" s="4">
        <v>0</v>
      </c>
      <c r="D594" s="4">
        <v>2</v>
      </c>
      <c r="E594" s="4">
        <v>0</v>
      </c>
      <c r="F594" s="4">
        <f>ROUND(F566,O594)</f>
        <v>966613.95</v>
      </c>
      <c r="G594" s="4" t="s">
        <v>139</v>
      </c>
      <c r="H594" s="4" t="s">
        <v>140</v>
      </c>
      <c r="I594" s="4"/>
      <c r="J594" s="4"/>
      <c r="K594" s="4">
        <v>212</v>
      </c>
      <c r="L594" s="4">
        <v>30</v>
      </c>
      <c r="M594" s="4">
        <v>0</v>
      </c>
      <c r="N594" s="4" t="s">
        <v>3</v>
      </c>
      <c r="O594" s="4">
        <v>2</v>
      </c>
      <c r="P594" s="4"/>
      <c r="Q594" s="4"/>
      <c r="R594" s="4"/>
      <c r="S594" s="4"/>
      <c r="T594" s="4"/>
      <c r="U594" s="4"/>
      <c r="V594" s="4"/>
      <c r="W594" s="4">
        <v>966613.95</v>
      </c>
      <c r="X594" s="4">
        <v>1</v>
      </c>
      <c r="Y594" s="4">
        <v>966613.95</v>
      </c>
      <c r="Z594" s="4"/>
      <c r="AA594" s="4"/>
      <c r="AB594" s="4"/>
    </row>
    <row r="595" spans="1:28" x14ac:dyDescent="0.2">
      <c r="A595" s="4">
        <v>50</v>
      </c>
      <c r="B595" s="4">
        <v>1</v>
      </c>
      <c r="C595" s="4">
        <v>0</v>
      </c>
      <c r="D595" s="4">
        <v>2</v>
      </c>
      <c r="E595" s="4">
        <v>0</v>
      </c>
      <c r="F595" s="4">
        <f>ROUND(F589,O595)</f>
        <v>940723.5</v>
      </c>
      <c r="G595" s="4" t="s">
        <v>141</v>
      </c>
      <c r="H595" s="4" t="s">
        <v>130</v>
      </c>
      <c r="I595" s="4"/>
      <c r="J595" s="4"/>
      <c r="K595" s="4">
        <v>212</v>
      </c>
      <c r="L595" s="4">
        <v>31</v>
      </c>
      <c r="M595" s="4">
        <v>0</v>
      </c>
      <c r="N595" s="4" t="s">
        <v>3</v>
      </c>
      <c r="O595" s="4">
        <v>2</v>
      </c>
      <c r="P595" s="4"/>
      <c r="Q595" s="4"/>
      <c r="R595" s="4"/>
      <c r="S595" s="4"/>
      <c r="T595" s="4"/>
      <c r="U595" s="4"/>
      <c r="V595" s="4"/>
      <c r="W595" s="4">
        <v>940723.5</v>
      </c>
      <c r="X595" s="4">
        <v>1</v>
      </c>
      <c r="Y595" s="4">
        <v>940723.5</v>
      </c>
      <c r="Z595" s="4"/>
      <c r="AA595" s="4"/>
      <c r="AB595" s="4"/>
    </row>
    <row r="596" spans="1:28" x14ac:dyDescent="0.2">
      <c r="A596" s="4">
        <v>50</v>
      </c>
      <c r="B596" s="4">
        <v>1</v>
      </c>
      <c r="C596" s="4">
        <v>0</v>
      </c>
      <c r="D596" s="4">
        <v>2</v>
      </c>
      <c r="E596" s="4">
        <v>0</v>
      </c>
      <c r="F596" s="4">
        <f>ROUND(F590,O596)</f>
        <v>620130.5</v>
      </c>
      <c r="G596" s="4" t="s">
        <v>142</v>
      </c>
      <c r="H596" s="4" t="s">
        <v>143</v>
      </c>
      <c r="I596" s="4"/>
      <c r="J596" s="4"/>
      <c r="K596" s="4">
        <v>212</v>
      </c>
      <c r="L596" s="4">
        <v>32</v>
      </c>
      <c r="M596" s="4">
        <v>0</v>
      </c>
      <c r="N596" s="4" t="s">
        <v>3</v>
      </c>
      <c r="O596" s="4">
        <v>2</v>
      </c>
      <c r="P596" s="4"/>
      <c r="Q596" s="4"/>
      <c r="R596" s="4"/>
      <c r="S596" s="4"/>
      <c r="T596" s="4"/>
      <c r="U596" s="4"/>
      <c r="V596" s="4"/>
      <c r="W596" s="4">
        <v>620130.5</v>
      </c>
      <c r="X596" s="4">
        <v>1</v>
      </c>
      <c r="Y596" s="4">
        <v>620130.5</v>
      </c>
      <c r="Z596" s="4"/>
      <c r="AA596" s="4"/>
      <c r="AB596" s="4"/>
    </row>
    <row r="597" spans="1:28" x14ac:dyDescent="0.2">
      <c r="A597" s="4">
        <v>50</v>
      </c>
      <c r="B597" s="4">
        <v>1</v>
      </c>
      <c r="C597" s="4">
        <v>0</v>
      </c>
      <c r="D597" s="4">
        <v>2</v>
      </c>
      <c r="E597" s="4">
        <v>0</v>
      </c>
      <c r="F597" s="4">
        <f>ROUND(F592+F593+F594+F595+F596,O597)</f>
        <v>3745072.23</v>
      </c>
      <c r="G597" s="4" t="s">
        <v>144</v>
      </c>
      <c r="H597" s="4" t="s">
        <v>134</v>
      </c>
      <c r="I597" s="4"/>
      <c r="J597" s="4"/>
      <c r="K597" s="4">
        <v>212</v>
      </c>
      <c r="L597" s="4">
        <v>33</v>
      </c>
      <c r="M597" s="4">
        <v>0</v>
      </c>
      <c r="N597" s="4" t="s">
        <v>3</v>
      </c>
      <c r="O597" s="4">
        <v>2</v>
      </c>
      <c r="P597" s="4"/>
      <c r="Q597" s="4"/>
      <c r="R597" s="4"/>
      <c r="S597" s="4"/>
      <c r="T597" s="4"/>
      <c r="U597" s="4"/>
      <c r="V597" s="4"/>
      <c r="W597" s="4">
        <v>3745072.23</v>
      </c>
      <c r="X597" s="4">
        <v>1</v>
      </c>
      <c r="Y597" s="4">
        <v>3745072.23</v>
      </c>
      <c r="Z597" s="4"/>
      <c r="AA597" s="4"/>
      <c r="AB597" s="4"/>
    </row>
    <row r="598" spans="1:28" x14ac:dyDescent="0.2">
      <c r="A598" s="4">
        <v>50</v>
      </c>
      <c r="B598" s="4">
        <v>1</v>
      </c>
      <c r="C598" s="4">
        <v>0</v>
      </c>
      <c r="D598" s="4">
        <v>2</v>
      </c>
      <c r="E598" s="4">
        <v>0</v>
      </c>
      <c r="F598" s="4">
        <f>ROUND(F597*0.2,O598)</f>
        <v>749014.45</v>
      </c>
      <c r="G598" s="4" t="s">
        <v>145</v>
      </c>
      <c r="H598" s="4" t="s">
        <v>146</v>
      </c>
      <c r="I598" s="4"/>
      <c r="J598" s="4"/>
      <c r="K598" s="4">
        <v>212</v>
      </c>
      <c r="L598" s="4">
        <v>34</v>
      </c>
      <c r="M598" s="4">
        <v>0</v>
      </c>
      <c r="N598" s="4" t="s">
        <v>3</v>
      </c>
      <c r="O598" s="4">
        <v>2</v>
      </c>
      <c r="P598" s="4"/>
      <c r="Q598" s="4"/>
      <c r="R598" s="4"/>
      <c r="S598" s="4"/>
      <c r="T598" s="4"/>
      <c r="U598" s="4"/>
      <c r="V598" s="4"/>
      <c r="W598" s="4">
        <v>749014.45</v>
      </c>
      <c r="X598" s="4">
        <v>1</v>
      </c>
      <c r="Y598" s="4">
        <v>749014.45</v>
      </c>
      <c r="Z598" s="4"/>
      <c r="AA598" s="4"/>
      <c r="AB598" s="4"/>
    </row>
    <row r="599" spans="1:28" x14ac:dyDescent="0.2">
      <c r="A599" s="4">
        <v>50</v>
      </c>
      <c r="B599" s="4">
        <v>1</v>
      </c>
      <c r="C599" s="4">
        <v>0</v>
      </c>
      <c r="D599" s="4">
        <v>2</v>
      </c>
      <c r="E599" s="4">
        <v>213</v>
      </c>
      <c r="F599" s="4">
        <f>ROUND(F597+F598,O599)</f>
        <v>4494086.68</v>
      </c>
      <c r="G599" s="4" t="s">
        <v>147</v>
      </c>
      <c r="H599" s="4" t="s">
        <v>148</v>
      </c>
      <c r="I599" s="4"/>
      <c r="J599" s="4"/>
      <c r="K599" s="4">
        <v>212</v>
      </c>
      <c r="L599" s="4">
        <v>35</v>
      </c>
      <c r="M599" s="4">
        <v>0</v>
      </c>
      <c r="N599" s="4" t="s">
        <v>3</v>
      </c>
      <c r="O599" s="4">
        <v>2</v>
      </c>
      <c r="P599" s="4"/>
      <c r="Q599" s="4"/>
      <c r="R599" s="4"/>
      <c r="S599" s="4"/>
      <c r="T599" s="4"/>
      <c r="U599" s="4"/>
      <c r="V599" s="4"/>
      <c r="W599" s="4">
        <v>4494086.68</v>
      </c>
      <c r="X599" s="4">
        <v>1</v>
      </c>
      <c r="Y599" s="4">
        <v>4494086.68</v>
      </c>
      <c r="Z599" s="4"/>
      <c r="AA599" s="4"/>
      <c r="AB599" s="4"/>
    </row>
    <row r="602" spans="1:28" x14ac:dyDescent="0.2">
      <c r="A602">
        <v>70</v>
      </c>
      <c r="B602">
        <v>1</v>
      </c>
      <c r="D602">
        <v>1</v>
      </c>
      <c r="E602" t="s">
        <v>626</v>
      </c>
      <c r="F602" t="s">
        <v>627</v>
      </c>
      <c r="G602">
        <v>1</v>
      </c>
      <c r="H602">
        <v>0</v>
      </c>
      <c r="I602" t="s">
        <v>3</v>
      </c>
      <c r="J602">
        <v>1</v>
      </c>
      <c r="K602">
        <v>0</v>
      </c>
      <c r="L602" t="s">
        <v>3</v>
      </c>
      <c r="M602" t="s">
        <v>3</v>
      </c>
      <c r="N602">
        <v>0</v>
      </c>
      <c r="P602" t="s">
        <v>628</v>
      </c>
    </row>
    <row r="603" spans="1:28" x14ac:dyDescent="0.2">
      <c r="A603">
        <v>70</v>
      </c>
      <c r="B603">
        <v>1</v>
      </c>
      <c r="D603">
        <v>2</v>
      </c>
      <c r="E603" t="s">
        <v>629</v>
      </c>
      <c r="F603" t="s">
        <v>630</v>
      </c>
      <c r="G603">
        <v>0</v>
      </c>
      <c r="H603">
        <v>0</v>
      </c>
      <c r="I603" t="s">
        <v>3</v>
      </c>
      <c r="J603">
        <v>1</v>
      </c>
      <c r="K603">
        <v>0</v>
      </c>
      <c r="L603" t="s">
        <v>3</v>
      </c>
      <c r="M603" t="s">
        <v>3</v>
      </c>
      <c r="N603">
        <v>0</v>
      </c>
      <c r="P603" t="s">
        <v>631</v>
      </c>
    </row>
    <row r="604" spans="1:28" x14ac:dyDescent="0.2">
      <c r="A604">
        <v>70</v>
      </c>
      <c r="B604">
        <v>1</v>
      </c>
      <c r="D604">
        <v>3</v>
      </c>
      <c r="E604" t="s">
        <v>632</v>
      </c>
      <c r="F604" t="s">
        <v>633</v>
      </c>
      <c r="G604">
        <v>0</v>
      </c>
      <c r="H604">
        <v>0</v>
      </c>
      <c r="I604" t="s">
        <v>3</v>
      </c>
      <c r="J604">
        <v>1</v>
      </c>
      <c r="K604">
        <v>0</v>
      </c>
      <c r="L604" t="s">
        <v>3</v>
      </c>
      <c r="M604" t="s">
        <v>3</v>
      </c>
      <c r="N604">
        <v>0</v>
      </c>
      <c r="P604" t="s">
        <v>634</v>
      </c>
    </row>
    <row r="605" spans="1:28" x14ac:dyDescent="0.2">
      <c r="A605">
        <v>70</v>
      </c>
      <c r="B605">
        <v>1</v>
      </c>
      <c r="D605">
        <v>4</v>
      </c>
      <c r="E605" t="s">
        <v>635</v>
      </c>
      <c r="F605" t="s">
        <v>636</v>
      </c>
      <c r="G605">
        <v>1</v>
      </c>
      <c r="H605">
        <v>0</v>
      </c>
      <c r="I605" t="s">
        <v>3</v>
      </c>
      <c r="J605">
        <v>2</v>
      </c>
      <c r="K605">
        <v>0</v>
      </c>
      <c r="L605" t="s">
        <v>3</v>
      </c>
      <c r="M605" t="s">
        <v>3</v>
      </c>
      <c r="N605">
        <v>0</v>
      </c>
      <c r="P605" t="s">
        <v>3</v>
      </c>
    </row>
    <row r="606" spans="1:28" x14ac:dyDescent="0.2">
      <c r="A606">
        <v>70</v>
      </c>
      <c r="B606">
        <v>1</v>
      </c>
      <c r="D606">
        <v>5</v>
      </c>
      <c r="E606" t="s">
        <v>637</v>
      </c>
      <c r="F606" t="s">
        <v>638</v>
      </c>
      <c r="G606">
        <v>0</v>
      </c>
      <c r="H606">
        <v>0</v>
      </c>
      <c r="I606" t="s">
        <v>3</v>
      </c>
      <c r="J606">
        <v>2</v>
      </c>
      <c r="K606">
        <v>0</v>
      </c>
      <c r="L606" t="s">
        <v>3</v>
      </c>
      <c r="M606" t="s">
        <v>3</v>
      </c>
      <c r="N606">
        <v>0</v>
      </c>
      <c r="P606" t="s">
        <v>3</v>
      </c>
    </row>
    <row r="607" spans="1:28" x14ac:dyDescent="0.2">
      <c r="A607">
        <v>70</v>
      </c>
      <c r="B607">
        <v>1</v>
      </c>
      <c r="D607">
        <v>6</v>
      </c>
      <c r="E607" t="s">
        <v>639</v>
      </c>
      <c r="F607" t="s">
        <v>640</v>
      </c>
      <c r="G607">
        <v>0</v>
      </c>
      <c r="H607">
        <v>0</v>
      </c>
      <c r="I607" t="s">
        <v>3</v>
      </c>
      <c r="J607">
        <v>2</v>
      </c>
      <c r="K607">
        <v>0</v>
      </c>
      <c r="L607" t="s">
        <v>3</v>
      </c>
      <c r="M607" t="s">
        <v>3</v>
      </c>
      <c r="N607">
        <v>0</v>
      </c>
      <c r="P607" t="s">
        <v>3</v>
      </c>
    </row>
    <row r="608" spans="1:28" x14ac:dyDescent="0.2">
      <c r="A608">
        <v>70</v>
      </c>
      <c r="B608">
        <v>1</v>
      </c>
      <c r="D608">
        <v>7</v>
      </c>
      <c r="E608" t="s">
        <v>641</v>
      </c>
      <c r="F608" t="s">
        <v>642</v>
      </c>
      <c r="G608">
        <v>0</v>
      </c>
      <c r="H608">
        <v>0</v>
      </c>
      <c r="I608" t="s">
        <v>643</v>
      </c>
      <c r="J608">
        <v>0</v>
      </c>
      <c r="K608">
        <v>0</v>
      </c>
      <c r="L608" t="s">
        <v>3</v>
      </c>
      <c r="M608" t="s">
        <v>3</v>
      </c>
      <c r="N608">
        <v>0</v>
      </c>
      <c r="P608" t="s">
        <v>644</v>
      </c>
    </row>
    <row r="609" spans="1:16" x14ac:dyDescent="0.2">
      <c r="A609">
        <v>70</v>
      </c>
      <c r="B609">
        <v>1</v>
      </c>
      <c r="D609">
        <v>8</v>
      </c>
      <c r="E609" t="s">
        <v>645</v>
      </c>
      <c r="F609" t="s">
        <v>646</v>
      </c>
      <c r="G609">
        <v>1</v>
      </c>
      <c r="H609">
        <v>0</v>
      </c>
      <c r="I609" t="s">
        <v>3</v>
      </c>
      <c r="J609">
        <v>5</v>
      </c>
      <c r="K609">
        <v>0</v>
      </c>
      <c r="L609" t="s">
        <v>3</v>
      </c>
      <c r="M609" t="s">
        <v>3</v>
      </c>
      <c r="N609">
        <v>0</v>
      </c>
      <c r="P609" t="s">
        <v>3</v>
      </c>
    </row>
    <row r="610" spans="1:16" x14ac:dyDescent="0.2">
      <c r="A610">
        <v>70</v>
      </c>
      <c r="B610">
        <v>1</v>
      </c>
      <c r="D610">
        <v>9</v>
      </c>
      <c r="E610" t="s">
        <v>647</v>
      </c>
      <c r="F610" t="s">
        <v>648</v>
      </c>
      <c r="G610">
        <v>0</v>
      </c>
      <c r="H610">
        <v>0</v>
      </c>
      <c r="I610" t="s">
        <v>3</v>
      </c>
      <c r="J610">
        <v>5</v>
      </c>
      <c r="K610">
        <v>0</v>
      </c>
      <c r="L610" t="s">
        <v>3</v>
      </c>
      <c r="M610" t="s">
        <v>3</v>
      </c>
      <c r="N610">
        <v>0</v>
      </c>
      <c r="P610" t="s">
        <v>649</v>
      </c>
    </row>
    <row r="611" spans="1:16" x14ac:dyDescent="0.2">
      <c r="A611">
        <v>70</v>
      </c>
      <c r="B611">
        <v>1</v>
      </c>
      <c r="D611">
        <v>10</v>
      </c>
      <c r="E611" t="s">
        <v>650</v>
      </c>
      <c r="F611" t="s">
        <v>651</v>
      </c>
      <c r="G611">
        <v>0</v>
      </c>
      <c r="H611">
        <v>0</v>
      </c>
      <c r="I611" t="s">
        <v>652</v>
      </c>
      <c r="J611">
        <v>5</v>
      </c>
      <c r="K611">
        <v>0</v>
      </c>
      <c r="L611" t="s">
        <v>3</v>
      </c>
      <c r="M611" t="s">
        <v>3</v>
      </c>
      <c r="N611">
        <v>0</v>
      </c>
      <c r="P611" t="s">
        <v>653</v>
      </c>
    </row>
    <row r="612" spans="1:16" x14ac:dyDescent="0.2">
      <c r="A612">
        <v>70</v>
      </c>
      <c r="B612">
        <v>1</v>
      </c>
      <c r="D612">
        <v>11</v>
      </c>
      <c r="E612" t="s">
        <v>654</v>
      </c>
      <c r="F612" t="s">
        <v>655</v>
      </c>
      <c r="G612">
        <v>0</v>
      </c>
      <c r="H612">
        <v>0</v>
      </c>
      <c r="I612" t="s">
        <v>656</v>
      </c>
      <c r="J612">
        <v>0</v>
      </c>
      <c r="K612">
        <v>0</v>
      </c>
      <c r="L612" t="s">
        <v>3</v>
      </c>
      <c r="M612" t="s">
        <v>3</v>
      </c>
      <c r="N612">
        <v>0</v>
      </c>
      <c r="P612" t="s">
        <v>657</v>
      </c>
    </row>
    <row r="613" spans="1:16" x14ac:dyDescent="0.2">
      <c r="A613">
        <v>70</v>
      </c>
      <c r="B613">
        <v>1</v>
      </c>
      <c r="D613">
        <v>12</v>
      </c>
      <c r="E613" t="s">
        <v>658</v>
      </c>
      <c r="F613" t="s">
        <v>659</v>
      </c>
      <c r="G613">
        <v>0</v>
      </c>
      <c r="H613">
        <v>0</v>
      </c>
      <c r="I613" t="s">
        <v>660</v>
      </c>
      <c r="J613">
        <v>0</v>
      </c>
      <c r="K613">
        <v>0</v>
      </c>
      <c r="L613" t="s">
        <v>3</v>
      </c>
      <c r="M613" t="s">
        <v>3</v>
      </c>
      <c r="N613">
        <v>0</v>
      </c>
      <c r="P613" t="s">
        <v>661</v>
      </c>
    </row>
    <row r="614" spans="1:16" x14ac:dyDescent="0.2">
      <c r="A614">
        <v>70</v>
      </c>
      <c r="B614">
        <v>1</v>
      </c>
      <c r="D614">
        <v>13</v>
      </c>
      <c r="E614" t="s">
        <v>662</v>
      </c>
      <c r="F614" t="s">
        <v>663</v>
      </c>
      <c r="G614">
        <v>0</v>
      </c>
      <c r="H614">
        <v>0</v>
      </c>
      <c r="I614" t="s">
        <v>664</v>
      </c>
      <c r="J614">
        <v>0</v>
      </c>
      <c r="K614">
        <v>0</v>
      </c>
      <c r="L614" t="s">
        <v>3</v>
      </c>
      <c r="M614" t="s">
        <v>3</v>
      </c>
      <c r="N614">
        <v>0</v>
      </c>
      <c r="P614" t="s">
        <v>665</v>
      </c>
    </row>
    <row r="615" spans="1:16" x14ac:dyDescent="0.2">
      <c r="A615">
        <v>70</v>
      </c>
      <c r="B615">
        <v>1</v>
      </c>
      <c r="D615">
        <v>14</v>
      </c>
      <c r="E615" t="s">
        <v>666</v>
      </c>
      <c r="F615" t="s">
        <v>667</v>
      </c>
      <c r="G615">
        <v>0</v>
      </c>
      <c r="H615">
        <v>0</v>
      </c>
      <c r="I615" t="s">
        <v>3</v>
      </c>
      <c r="J615">
        <v>0</v>
      </c>
      <c r="K615">
        <v>0</v>
      </c>
      <c r="L615" t="s">
        <v>3</v>
      </c>
      <c r="M615" t="s">
        <v>3</v>
      </c>
      <c r="N615">
        <v>0</v>
      </c>
      <c r="P615" t="s">
        <v>668</v>
      </c>
    </row>
    <row r="616" spans="1:16" x14ac:dyDescent="0.2">
      <c r="A616">
        <v>70</v>
      </c>
      <c r="B616">
        <v>1</v>
      </c>
      <c r="D616">
        <v>15</v>
      </c>
      <c r="E616" t="s">
        <v>669</v>
      </c>
      <c r="F616" t="s">
        <v>670</v>
      </c>
      <c r="G616">
        <v>0</v>
      </c>
      <c r="H616">
        <v>0</v>
      </c>
      <c r="I616" t="s">
        <v>3</v>
      </c>
      <c r="J616">
        <v>3</v>
      </c>
      <c r="K616">
        <v>0</v>
      </c>
      <c r="L616" t="s">
        <v>3</v>
      </c>
      <c r="M616" t="s">
        <v>3</v>
      </c>
      <c r="N616">
        <v>0</v>
      </c>
      <c r="P616" t="s">
        <v>3</v>
      </c>
    </row>
    <row r="617" spans="1:16" x14ac:dyDescent="0.2">
      <c r="A617">
        <v>70</v>
      </c>
      <c r="B617">
        <v>1</v>
      </c>
      <c r="D617">
        <v>16</v>
      </c>
      <c r="E617" t="s">
        <v>671</v>
      </c>
      <c r="F617" t="s">
        <v>672</v>
      </c>
      <c r="G617">
        <v>1</v>
      </c>
      <c r="H617">
        <v>0</v>
      </c>
      <c r="I617" t="s">
        <v>3</v>
      </c>
      <c r="J617">
        <v>3</v>
      </c>
      <c r="K617">
        <v>0</v>
      </c>
      <c r="L617" t="s">
        <v>3</v>
      </c>
      <c r="M617" t="s">
        <v>3</v>
      </c>
      <c r="N617">
        <v>0</v>
      </c>
      <c r="P617" t="s">
        <v>3</v>
      </c>
    </row>
    <row r="618" spans="1:16" x14ac:dyDescent="0.2">
      <c r="A618">
        <v>70</v>
      </c>
      <c r="B618">
        <v>1</v>
      </c>
      <c r="D618">
        <v>1</v>
      </c>
      <c r="E618" t="s">
        <v>673</v>
      </c>
      <c r="F618" t="s">
        <v>674</v>
      </c>
      <c r="G618">
        <v>0.9</v>
      </c>
      <c r="H618">
        <v>1</v>
      </c>
      <c r="I618" t="s">
        <v>675</v>
      </c>
      <c r="J618">
        <v>0</v>
      </c>
      <c r="K618">
        <v>0</v>
      </c>
      <c r="L618" t="s">
        <v>3</v>
      </c>
      <c r="M618" t="s">
        <v>3</v>
      </c>
      <c r="N618">
        <v>0</v>
      </c>
      <c r="P618" t="s">
        <v>676</v>
      </c>
    </row>
    <row r="619" spans="1:16" x14ac:dyDescent="0.2">
      <c r="A619">
        <v>70</v>
      </c>
      <c r="B619">
        <v>1</v>
      </c>
      <c r="D619">
        <v>2</v>
      </c>
      <c r="E619" t="s">
        <v>677</v>
      </c>
      <c r="F619" t="s">
        <v>678</v>
      </c>
      <c r="G619">
        <v>0.85</v>
      </c>
      <c r="H619">
        <v>1</v>
      </c>
      <c r="I619" t="s">
        <v>679</v>
      </c>
      <c r="J619">
        <v>0</v>
      </c>
      <c r="K619">
        <v>0</v>
      </c>
      <c r="L619" t="s">
        <v>3</v>
      </c>
      <c r="M619" t="s">
        <v>3</v>
      </c>
      <c r="N619">
        <v>0</v>
      </c>
      <c r="P619" t="s">
        <v>680</v>
      </c>
    </row>
    <row r="620" spans="1:16" x14ac:dyDescent="0.2">
      <c r="A620">
        <v>70</v>
      </c>
      <c r="B620">
        <v>1</v>
      </c>
      <c r="D620">
        <v>3</v>
      </c>
      <c r="E620" t="s">
        <v>681</v>
      </c>
      <c r="F620" t="s">
        <v>682</v>
      </c>
      <c r="G620">
        <v>1.03</v>
      </c>
      <c r="H620">
        <v>0</v>
      </c>
      <c r="I620" t="s">
        <v>3</v>
      </c>
      <c r="J620">
        <v>0</v>
      </c>
      <c r="K620">
        <v>0</v>
      </c>
      <c r="L620" t="s">
        <v>3</v>
      </c>
      <c r="M620" t="s">
        <v>3</v>
      </c>
      <c r="N620">
        <v>0</v>
      </c>
      <c r="P620" t="s">
        <v>683</v>
      </c>
    </row>
    <row r="621" spans="1:16" x14ac:dyDescent="0.2">
      <c r="A621">
        <v>70</v>
      </c>
      <c r="B621">
        <v>1</v>
      </c>
      <c r="D621">
        <v>4</v>
      </c>
      <c r="E621" t="s">
        <v>684</v>
      </c>
      <c r="F621" t="s">
        <v>685</v>
      </c>
      <c r="G621">
        <v>1.1499999999999999</v>
      </c>
      <c r="H621">
        <v>0</v>
      </c>
      <c r="I621" t="s">
        <v>3</v>
      </c>
      <c r="J621">
        <v>0</v>
      </c>
      <c r="K621">
        <v>0</v>
      </c>
      <c r="L621" t="s">
        <v>3</v>
      </c>
      <c r="M621" t="s">
        <v>3</v>
      </c>
      <c r="N621">
        <v>0</v>
      </c>
      <c r="P621" t="s">
        <v>686</v>
      </c>
    </row>
    <row r="622" spans="1:16" x14ac:dyDescent="0.2">
      <c r="A622">
        <v>70</v>
      </c>
      <c r="B622">
        <v>1</v>
      </c>
      <c r="D622">
        <v>5</v>
      </c>
      <c r="E622" t="s">
        <v>687</v>
      </c>
      <c r="F622" t="s">
        <v>688</v>
      </c>
      <c r="G622">
        <v>7</v>
      </c>
      <c r="H622">
        <v>0</v>
      </c>
      <c r="I622" t="s">
        <v>3</v>
      </c>
      <c r="J622">
        <v>0</v>
      </c>
      <c r="K622">
        <v>0</v>
      </c>
      <c r="L622" t="s">
        <v>3</v>
      </c>
      <c r="M622" t="s">
        <v>3</v>
      </c>
      <c r="N622">
        <v>0</v>
      </c>
      <c r="P622" t="s">
        <v>3</v>
      </c>
    </row>
    <row r="623" spans="1:16" x14ac:dyDescent="0.2">
      <c r="A623">
        <v>70</v>
      </c>
      <c r="B623">
        <v>1</v>
      </c>
      <c r="D623">
        <v>6</v>
      </c>
      <c r="E623" t="s">
        <v>689</v>
      </c>
      <c r="F623" t="s">
        <v>3</v>
      </c>
      <c r="G623">
        <v>2</v>
      </c>
      <c r="H623">
        <v>0</v>
      </c>
      <c r="I623" t="s">
        <v>3</v>
      </c>
      <c r="J623">
        <v>0</v>
      </c>
      <c r="K623">
        <v>0</v>
      </c>
      <c r="L623" t="s">
        <v>3</v>
      </c>
      <c r="M623" t="s">
        <v>3</v>
      </c>
      <c r="N623">
        <v>0</v>
      </c>
      <c r="P623" t="s">
        <v>3</v>
      </c>
    </row>
    <row r="625" spans="1:50" x14ac:dyDescent="0.2">
      <c r="A625">
        <v>-1</v>
      </c>
    </row>
    <row r="627" spans="1:50" x14ac:dyDescent="0.2">
      <c r="A627" s="3">
        <v>75</v>
      </c>
      <c r="B627" s="3" t="s">
        <v>690</v>
      </c>
      <c r="C627" s="3">
        <v>2024</v>
      </c>
      <c r="D627" s="3">
        <v>0</v>
      </c>
      <c r="E627" s="3">
        <v>6</v>
      </c>
      <c r="F627" s="3"/>
      <c r="G627" s="3">
        <v>0</v>
      </c>
      <c r="H627" s="3">
        <v>1</v>
      </c>
      <c r="I627" s="3">
        <v>0</v>
      </c>
      <c r="J627" s="3">
        <v>3</v>
      </c>
      <c r="K627" s="3">
        <v>0</v>
      </c>
      <c r="L627" s="3">
        <v>0</v>
      </c>
      <c r="M627" s="3">
        <v>0</v>
      </c>
      <c r="N627" s="3">
        <v>94798619</v>
      </c>
      <c r="O627" s="3">
        <v>1</v>
      </c>
    </row>
    <row r="628" spans="1:50" x14ac:dyDescent="0.2">
      <c r="A628" s="5">
        <v>1</v>
      </c>
      <c r="B628" s="5" t="s">
        <v>691</v>
      </c>
      <c r="C628" s="5" t="s">
        <v>692</v>
      </c>
      <c r="D628" s="5">
        <v>2024</v>
      </c>
      <c r="E628" s="5">
        <v>6</v>
      </c>
      <c r="F628" s="5">
        <v>1</v>
      </c>
      <c r="G628" s="5">
        <v>1</v>
      </c>
      <c r="H628" s="5">
        <v>0</v>
      </c>
      <c r="I628" s="5">
        <v>2</v>
      </c>
      <c r="J628" s="5">
        <v>1</v>
      </c>
      <c r="K628" s="5">
        <v>1</v>
      </c>
      <c r="L628" s="5">
        <v>1</v>
      </c>
      <c r="M628" s="5">
        <v>1</v>
      </c>
      <c r="N628" s="5">
        <v>1</v>
      </c>
      <c r="O628" s="5">
        <v>1</v>
      </c>
      <c r="P628" s="5">
        <v>1</v>
      </c>
      <c r="Q628" s="5">
        <v>1</v>
      </c>
      <c r="R628" s="5" t="s">
        <v>3</v>
      </c>
      <c r="S628" s="5" t="s">
        <v>3</v>
      </c>
      <c r="T628" s="5" t="s">
        <v>3</v>
      </c>
      <c r="U628" s="5" t="s">
        <v>3</v>
      </c>
      <c r="V628" s="5" t="s">
        <v>3</v>
      </c>
      <c r="W628" s="5" t="s">
        <v>3</v>
      </c>
      <c r="X628" s="5" t="s">
        <v>3</v>
      </c>
      <c r="Y628" s="5" t="s">
        <v>3</v>
      </c>
      <c r="Z628" s="5" t="s">
        <v>3</v>
      </c>
      <c r="AA628" s="5" t="s">
        <v>3</v>
      </c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>
        <v>94798620</v>
      </c>
      <c r="AO628" s="5"/>
      <c r="AP628" s="5"/>
      <c r="AQ628" s="5"/>
      <c r="AR628" s="5"/>
      <c r="AS628" s="5"/>
      <c r="AT628" s="5"/>
      <c r="AU628" s="5"/>
      <c r="AV628" s="5"/>
      <c r="AW628" s="5"/>
      <c r="AX628" s="5"/>
    </row>
    <row r="632" spans="1:50" x14ac:dyDescent="0.2">
      <c r="A632">
        <v>65</v>
      </c>
      <c r="C632">
        <v>1</v>
      </c>
      <c r="D632">
        <v>0</v>
      </c>
      <c r="E632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6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693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73233</v>
      </c>
      <c r="M1">
        <v>10</v>
      </c>
      <c r="N1">
        <v>11</v>
      </c>
      <c r="O1">
        <v>9</v>
      </c>
      <c r="P1">
        <v>0</v>
      </c>
      <c r="Q1">
        <v>1</v>
      </c>
    </row>
    <row r="12" spans="1:133" x14ac:dyDescent="0.2">
      <c r="A12" s="1">
        <v>1</v>
      </c>
      <c r="B12" s="1">
        <v>59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11</v>
      </c>
      <c r="CR12" s="1" t="s">
        <v>12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94798619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0</v>
      </c>
      <c r="C16" s="6" t="s">
        <v>13</v>
      </c>
      <c r="D16" s="6" t="s">
        <v>13</v>
      </c>
      <c r="E16" s="7">
        <f>ROUND((Source!F550)/1000,2)</f>
        <v>3722.02</v>
      </c>
      <c r="F16" s="7">
        <f>ROUND((Source!F551)/1000,2)</f>
        <v>23.06</v>
      </c>
      <c r="G16" s="7">
        <f>ROUND((Source!F542)/1000,2)</f>
        <v>0</v>
      </c>
      <c r="H16" s="7">
        <f>ROUND((Source!F552)/1000+(Source!F553)/1000,2)</f>
        <v>0</v>
      </c>
      <c r="I16" s="7">
        <f>E16+F16+G16+H16</f>
        <v>3745.08</v>
      </c>
      <c r="J16" s="7">
        <f>ROUND((Source!F548+Source!F547)/1000,2)</f>
        <v>869.58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2184218.23</v>
      </c>
      <c r="AU16" s="7">
        <v>966613.95</v>
      </c>
      <c r="AV16" s="7">
        <v>0</v>
      </c>
      <c r="AW16" s="7">
        <v>0</v>
      </c>
      <c r="AX16" s="7">
        <v>0</v>
      </c>
      <c r="AY16" s="7">
        <v>467699.64</v>
      </c>
      <c r="AZ16" s="7">
        <v>119672.7</v>
      </c>
      <c r="BA16" s="7">
        <v>749904.64</v>
      </c>
      <c r="BB16" s="7">
        <v>3722015.81</v>
      </c>
      <c r="BC16" s="7">
        <v>23056.42</v>
      </c>
      <c r="BD16" s="7">
        <v>0</v>
      </c>
      <c r="BE16" s="7">
        <v>0</v>
      </c>
      <c r="BF16" s="7">
        <v>2469.4044459999986</v>
      </c>
      <c r="BG16" s="7">
        <v>285.08076100000005</v>
      </c>
      <c r="BH16" s="7">
        <v>0</v>
      </c>
      <c r="BI16" s="7">
        <v>940723.5</v>
      </c>
      <c r="BJ16" s="7">
        <v>620130.5</v>
      </c>
      <c r="BK16" s="7">
        <v>3745072.23</v>
      </c>
    </row>
    <row r="18" spans="1:19" x14ac:dyDescent="0.2">
      <c r="A18">
        <v>51</v>
      </c>
      <c r="E18" s="8">
        <f>SUMIF(A16:A17,3,E16:E17)</f>
        <v>3722.02</v>
      </c>
      <c r="F18" s="8">
        <f>SUMIF(A16:A17,3,F16:F17)</f>
        <v>23.06</v>
      </c>
      <c r="G18" s="8">
        <f>SUMIF(A16:A17,3,G16:G17)</f>
        <v>0</v>
      </c>
      <c r="H18" s="8">
        <f>SUMIF(A16:A17,3,H16:H17)</f>
        <v>0</v>
      </c>
      <c r="I18" s="8">
        <f>SUMIF(A16:A17,3,I16:I17)</f>
        <v>3745.08</v>
      </c>
      <c r="J18" s="8">
        <f>SUMIF(A16:A17,3,J16:J17)</f>
        <v>869.58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2184218.23</v>
      </c>
      <c r="G20" s="4" t="s">
        <v>82</v>
      </c>
      <c r="H20" s="4" t="s">
        <v>83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966613.95</v>
      </c>
      <c r="G21" s="4" t="s">
        <v>84</v>
      </c>
      <c r="H21" s="4" t="s">
        <v>85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86</v>
      </c>
      <c r="H22" s="4" t="s">
        <v>87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966613.95</v>
      </c>
      <c r="G23" s="4" t="s">
        <v>88</v>
      </c>
      <c r="H23" s="4" t="s">
        <v>89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966613.95</v>
      </c>
      <c r="G24" s="4" t="s">
        <v>90</v>
      </c>
      <c r="H24" s="4" t="s">
        <v>91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92</v>
      </c>
      <c r="H25" s="4" t="s">
        <v>93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966613.95</v>
      </c>
      <c r="G26" s="4" t="s">
        <v>94</v>
      </c>
      <c r="H26" s="4" t="s">
        <v>95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96</v>
      </c>
      <c r="H27" s="4" t="s">
        <v>97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98</v>
      </c>
      <c r="H28" s="4" t="s">
        <v>99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100</v>
      </c>
      <c r="H29" s="4" t="s">
        <v>101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467699.64</v>
      </c>
      <c r="G30" s="4" t="s">
        <v>102</v>
      </c>
      <c r="H30" s="4" t="s">
        <v>103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104</v>
      </c>
      <c r="H31" s="4" t="s">
        <v>105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119672.7</v>
      </c>
      <c r="G32" s="4" t="s">
        <v>106</v>
      </c>
      <c r="H32" s="4" t="s">
        <v>107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749904.64</v>
      </c>
      <c r="G33" s="4" t="s">
        <v>108</v>
      </c>
      <c r="H33" s="4" t="s">
        <v>109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110</v>
      </c>
      <c r="H34" s="4" t="s">
        <v>111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3722015.81</v>
      </c>
      <c r="G35" s="4" t="s">
        <v>112</v>
      </c>
      <c r="H35" s="4" t="s">
        <v>113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23056.42</v>
      </c>
      <c r="G36" s="4" t="s">
        <v>114</v>
      </c>
      <c r="H36" s="4" t="s">
        <v>115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116</v>
      </c>
      <c r="H37" s="4" t="s">
        <v>117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118</v>
      </c>
      <c r="H38" s="4" t="s">
        <v>119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120</v>
      </c>
      <c r="H39" s="4" t="s">
        <v>121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2469.4044459999986</v>
      </c>
      <c r="G40" s="4" t="s">
        <v>122</v>
      </c>
      <c r="H40" s="4" t="s">
        <v>123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285.08076100000005</v>
      </c>
      <c r="G41" s="4" t="s">
        <v>124</v>
      </c>
      <c r="H41" s="4" t="s">
        <v>125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126</v>
      </c>
      <c r="H42" s="4" t="s">
        <v>127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467.16</v>
      </c>
      <c r="G43" s="4" t="s">
        <v>128</v>
      </c>
      <c r="H43" s="4" t="s">
        <v>129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940723.5</v>
      </c>
      <c r="G44" s="4" t="s">
        <v>130</v>
      </c>
      <c r="H44" s="4" t="s">
        <v>131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620130.5</v>
      </c>
      <c r="G45" s="4" t="s">
        <v>132</v>
      </c>
      <c r="H45" s="4" t="s">
        <v>133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3745072.23</v>
      </c>
      <c r="G46" s="4" t="s">
        <v>134</v>
      </c>
      <c r="H46" s="4" t="s">
        <v>135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749904.64</v>
      </c>
      <c r="G47" s="4" t="s">
        <v>136</v>
      </c>
      <c r="H47" s="4" t="s">
        <v>108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467699.64</v>
      </c>
      <c r="G48" s="4" t="s">
        <v>137</v>
      </c>
      <c r="H48" s="4" t="s">
        <v>138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50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966613.95</v>
      </c>
      <c r="G49" s="4" t="s">
        <v>139</v>
      </c>
      <c r="H49" s="4" t="s">
        <v>140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50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940723.5</v>
      </c>
      <c r="G50" s="4" t="s">
        <v>141</v>
      </c>
      <c r="H50" s="4" t="s">
        <v>130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50" x14ac:dyDescent="0.2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620130.5</v>
      </c>
      <c r="G51" s="4" t="s">
        <v>142</v>
      </c>
      <c r="H51" s="4" t="s">
        <v>143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2" spans="1:50" x14ac:dyDescent="0.2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3745072.23</v>
      </c>
      <c r="G52" s="4" t="s">
        <v>144</v>
      </c>
      <c r="H52" s="4" t="s">
        <v>134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2</v>
      </c>
      <c r="P52" s="4"/>
    </row>
    <row r="53" spans="1:50" x14ac:dyDescent="0.2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749014.45</v>
      </c>
      <c r="G53" s="4" t="s">
        <v>145</v>
      </c>
      <c r="H53" s="4" t="s">
        <v>146</v>
      </c>
      <c r="I53" s="4"/>
      <c r="J53" s="4"/>
      <c r="K53" s="4">
        <v>212</v>
      </c>
      <c r="L53" s="4">
        <v>34</v>
      </c>
      <c r="M53" s="4">
        <v>0</v>
      </c>
      <c r="N53" s="4" t="s">
        <v>3</v>
      </c>
      <c r="O53" s="4">
        <v>2</v>
      </c>
      <c r="P53" s="4"/>
    </row>
    <row r="54" spans="1:50" x14ac:dyDescent="0.2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4494086.68</v>
      </c>
      <c r="G54" s="4" t="s">
        <v>147</v>
      </c>
      <c r="H54" s="4" t="s">
        <v>148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6" spans="1:50" x14ac:dyDescent="0.2">
      <c r="A56">
        <v>-1</v>
      </c>
    </row>
    <row r="59" spans="1:50" x14ac:dyDescent="0.2">
      <c r="A59" s="3">
        <v>75</v>
      </c>
      <c r="B59" s="3" t="s">
        <v>690</v>
      </c>
      <c r="C59" s="3">
        <v>2024</v>
      </c>
      <c r="D59" s="3">
        <v>0</v>
      </c>
      <c r="E59" s="3">
        <v>6</v>
      </c>
      <c r="F59" s="3"/>
      <c r="G59" s="3">
        <v>0</v>
      </c>
      <c r="H59" s="3">
        <v>1</v>
      </c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3">
        <v>94798619</v>
      </c>
      <c r="O59" s="3">
        <v>1</v>
      </c>
    </row>
    <row r="60" spans="1:50" x14ac:dyDescent="0.2">
      <c r="A60" s="5">
        <v>1</v>
      </c>
      <c r="B60" s="5" t="s">
        <v>691</v>
      </c>
      <c r="C60" s="5" t="s">
        <v>692</v>
      </c>
      <c r="D60" s="5">
        <v>2024</v>
      </c>
      <c r="E60" s="5">
        <v>6</v>
      </c>
      <c r="F60" s="5">
        <v>1</v>
      </c>
      <c r="G60" s="5">
        <v>1</v>
      </c>
      <c r="H60" s="5">
        <v>0</v>
      </c>
      <c r="I60" s="5">
        <v>2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 t="s">
        <v>3</v>
      </c>
      <c r="S60" s="5" t="s">
        <v>3</v>
      </c>
      <c r="T60" s="5" t="s">
        <v>3</v>
      </c>
      <c r="U60" s="5" t="s">
        <v>3</v>
      </c>
      <c r="V60" s="5" t="s">
        <v>3</v>
      </c>
      <c r="W60" s="5" t="s">
        <v>3</v>
      </c>
      <c r="X60" s="5" t="s">
        <v>3</v>
      </c>
      <c r="Y60" s="5" t="s">
        <v>3</v>
      </c>
      <c r="Z60" s="5" t="s">
        <v>3</v>
      </c>
      <c r="AA60" s="5" t="s">
        <v>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94798620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49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ROW(Source!A28)</f>
        <v>28</v>
      </c>
      <c r="B1">
        <v>94798619</v>
      </c>
      <c r="C1">
        <v>94798806</v>
      </c>
      <c r="D1">
        <v>23129438</v>
      </c>
      <c r="E1">
        <v>1</v>
      </c>
      <c r="F1">
        <v>1</v>
      </c>
      <c r="G1">
        <v>1</v>
      </c>
      <c r="H1">
        <v>1</v>
      </c>
      <c r="I1" t="s">
        <v>694</v>
      </c>
      <c r="J1" t="s">
        <v>3</v>
      </c>
      <c r="K1" t="s">
        <v>695</v>
      </c>
      <c r="L1">
        <v>1369</v>
      </c>
      <c r="N1">
        <v>1013</v>
      </c>
      <c r="O1" t="s">
        <v>696</v>
      </c>
      <c r="P1" t="s">
        <v>696</v>
      </c>
      <c r="Q1">
        <v>1</v>
      </c>
      <c r="W1">
        <v>0</v>
      </c>
      <c r="X1">
        <v>-2139336833</v>
      </c>
      <c r="Y1">
        <f>AT1</f>
        <v>5.21</v>
      </c>
      <c r="AA1">
        <v>0</v>
      </c>
      <c r="AB1">
        <v>0</v>
      </c>
      <c r="AC1">
        <v>0</v>
      </c>
      <c r="AD1">
        <v>8.7899999999999991</v>
      </c>
      <c r="AE1">
        <v>0</v>
      </c>
      <c r="AF1">
        <v>0</v>
      </c>
      <c r="AG1">
        <v>0</v>
      </c>
      <c r="AH1">
        <v>8.7899999999999991</v>
      </c>
      <c r="AI1">
        <v>1</v>
      </c>
      <c r="AJ1">
        <v>1</v>
      </c>
      <c r="AK1">
        <v>1</v>
      </c>
      <c r="AL1">
        <v>1</v>
      </c>
      <c r="AM1">
        <v>-2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5.21</v>
      </c>
      <c r="AU1" t="s">
        <v>3</v>
      </c>
      <c r="AV1">
        <v>1</v>
      </c>
      <c r="AW1">
        <v>2</v>
      </c>
      <c r="AX1">
        <v>94798815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U1">
        <f>ROUND(AT1*Source!I28*AH1*AL1,2)</f>
        <v>9.16</v>
      </c>
      <c r="CV1">
        <f>ROUND(Y1*Source!I28,9)</f>
        <v>1.042</v>
      </c>
      <c r="CW1">
        <v>0</v>
      </c>
      <c r="CX1">
        <f>ROUND(Y1*Source!I28,9)</f>
        <v>1.042</v>
      </c>
      <c r="CY1">
        <f>AD1</f>
        <v>8.7899999999999991</v>
      </c>
      <c r="CZ1">
        <f>AH1</f>
        <v>8.7899999999999991</v>
      </c>
      <c r="DA1">
        <f>AL1</f>
        <v>1</v>
      </c>
      <c r="DB1">
        <f>ROUND(ROUND(AT1*CZ1,2),2)</f>
        <v>45.8</v>
      </c>
      <c r="DC1">
        <f>ROUND(ROUND(AT1*AG1,2),2)</f>
        <v>0</v>
      </c>
      <c r="DD1" t="s">
        <v>3</v>
      </c>
      <c r="DE1" t="s">
        <v>3</v>
      </c>
      <c r="DF1">
        <f t="shared" ref="DF1:DF8" si="0">ROUND(ROUND(AE1,2)*CX1,2)</f>
        <v>0</v>
      </c>
      <c r="DG1">
        <f>ROUND(ROUND(AF1,2)*CX1,2)</f>
        <v>0</v>
      </c>
      <c r="DH1">
        <f>ROUND(ROUND(AG1,2)*CX1,2)</f>
        <v>0</v>
      </c>
      <c r="DI1">
        <f t="shared" ref="DI1:DI64" si="1">ROUND(ROUND(AH1,2)*CX1,2)</f>
        <v>9.16</v>
      </c>
      <c r="DJ1">
        <f>DI1</f>
        <v>9.16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ROW(Source!A28)</f>
        <v>28</v>
      </c>
      <c r="B2">
        <v>94798619</v>
      </c>
      <c r="C2">
        <v>94798806</v>
      </c>
      <c r="D2">
        <v>37804153</v>
      </c>
      <c r="E2">
        <v>1</v>
      </c>
      <c r="F2">
        <v>1</v>
      </c>
      <c r="G2">
        <v>1</v>
      </c>
      <c r="H2">
        <v>2</v>
      </c>
      <c r="I2" t="s">
        <v>697</v>
      </c>
      <c r="J2" t="s">
        <v>698</v>
      </c>
      <c r="K2" t="s">
        <v>699</v>
      </c>
      <c r="L2">
        <v>1368</v>
      </c>
      <c r="N2">
        <v>1011</v>
      </c>
      <c r="O2" t="s">
        <v>700</v>
      </c>
      <c r="P2" t="s">
        <v>700</v>
      </c>
      <c r="Q2">
        <v>1</v>
      </c>
      <c r="W2">
        <v>0</v>
      </c>
      <c r="X2">
        <v>-1981470537</v>
      </c>
      <c r="Y2">
        <f>AT2</f>
        <v>1.74</v>
      </c>
      <c r="AA2">
        <v>0</v>
      </c>
      <c r="AB2">
        <v>36.200000000000003</v>
      </c>
      <c r="AC2">
        <v>0</v>
      </c>
      <c r="AD2">
        <v>0</v>
      </c>
      <c r="AE2">
        <v>0</v>
      </c>
      <c r="AF2">
        <v>5.63</v>
      </c>
      <c r="AG2">
        <v>0</v>
      </c>
      <c r="AH2">
        <v>0</v>
      </c>
      <c r="AI2">
        <v>1</v>
      </c>
      <c r="AJ2">
        <v>6.43</v>
      </c>
      <c r="AK2">
        <v>35.270000000000003</v>
      </c>
      <c r="AL2">
        <v>1</v>
      </c>
      <c r="AM2">
        <v>2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1.74</v>
      </c>
      <c r="AU2" t="s">
        <v>3</v>
      </c>
      <c r="AV2">
        <v>0</v>
      </c>
      <c r="AW2">
        <v>2</v>
      </c>
      <c r="AX2">
        <v>94798816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V2">
        <v>0</v>
      </c>
      <c r="CW2">
        <f>ROUND(Y2*Source!I28*DO2,9)</f>
        <v>0</v>
      </c>
      <c r="CX2">
        <f>ROUND(Y2*Source!I28,9)</f>
        <v>0.34799999999999998</v>
      </c>
      <c r="CY2">
        <f>AB2</f>
        <v>36.200000000000003</v>
      </c>
      <c r="CZ2">
        <f>AF2</f>
        <v>5.63</v>
      </c>
      <c r="DA2">
        <f>AJ2</f>
        <v>6.43</v>
      </c>
      <c r="DB2">
        <f>ROUND(ROUND(AT2*CZ2,2),2)</f>
        <v>9.8000000000000007</v>
      </c>
      <c r="DC2">
        <f>ROUND(ROUND(AT2*AG2,2),2)</f>
        <v>0</v>
      </c>
      <c r="DD2" t="s">
        <v>3</v>
      </c>
      <c r="DE2" t="s">
        <v>3</v>
      </c>
      <c r="DF2">
        <f t="shared" si="0"/>
        <v>0</v>
      </c>
      <c r="DG2">
        <f>ROUND(ROUND(AF2*AJ2,2)*CX2,2)</f>
        <v>12.6</v>
      </c>
      <c r="DH2">
        <f>ROUND(ROUND(AG2*AK2,2)*CX2,2)</f>
        <v>0</v>
      </c>
      <c r="DI2">
        <f t="shared" si="1"/>
        <v>0</v>
      </c>
      <c r="DJ2">
        <f>DG2</f>
        <v>12.6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ROW(Source!A29)</f>
        <v>29</v>
      </c>
      <c r="B3">
        <v>94798619</v>
      </c>
      <c r="C3">
        <v>94798823</v>
      </c>
      <c r="D3">
        <v>23129555</v>
      </c>
      <c r="E3">
        <v>1</v>
      </c>
      <c r="F3">
        <v>1</v>
      </c>
      <c r="G3">
        <v>1</v>
      </c>
      <c r="H3">
        <v>1</v>
      </c>
      <c r="I3" t="s">
        <v>701</v>
      </c>
      <c r="J3" t="s">
        <v>3</v>
      </c>
      <c r="K3" t="s">
        <v>702</v>
      </c>
      <c r="L3">
        <v>1369</v>
      </c>
      <c r="N3">
        <v>1013</v>
      </c>
      <c r="O3" t="s">
        <v>696</v>
      </c>
      <c r="P3" t="s">
        <v>696</v>
      </c>
      <c r="Q3">
        <v>1</v>
      </c>
      <c r="W3">
        <v>0</v>
      </c>
      <c r="X3">
        <v>1250814213</v>
      </c>
      <c r="Y3">
        <f>AT3</f>
        <v>41</v>
      </c>
      <c r="AA3">
        <v>0</v>
      </c>
      <c r="AB3">
        <v>0</v>
      </c>
      <c r="AC3">
        <v>0</v>
      </c>
      <c r="AD3">
        <v>7.29</v>
      </c>
      <c r="AE3">
        <v>0</v>
      </c>
      <c r="AF3">
        <v>0</v>
      </c>
      <c r="AG3">
        <v>0</v>
      </c>
      <c r="AH3">
        <v>7.29</v>
      </c>
      <c r="AI3">
        <v>1</v>
      </c>
      <c r="AJ3">
        <v>1</v>
      </c>
      <c r="AK3">
        <v>1</v>
      </c>
      <c r="AL3">
        <v>1</v>
      </c>
      <c r="AM3">
        <v>-2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41</v>
      </c>
      <c r="AU3" t="s">
        <v>3</v>
      </c>
      <c r="AV3">
        <v>1</v>
      </c>
      <c r="AW3">
        <v>2</v>
      </c>
      <c r="AX3">
        <v>94798825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U3">
        <f>ROUND(AT3*Source!I29*AH3*AL3,2)</f>
        <v>59.78</v>
      </c>
      <c r="CV3">
        <f>ROUND(Y3*Source!I29,9)</f>
        <v>8.1999999999999993</v>
      </c>
      <c r="CW3">
        <v>0</v>
      </c>
      <c r="CX3">
        <f>ROUND(Y3*Source!I29,9)</f>
        <v>8.1999999999999993</v>
      </c>
      <c r="CY3">
        <f>AD3</f>
        <v>7.29</v>
      </c>
      <c r="CZ3">
        <f>AH3</f>
        <v>7.29</v>
      </c>
      <c r="DA3">
        <f>AL3</f>
        <v>1</v>
      </c>
      <c r="DB3">
        <f>ROUND(ROUND(AT3*CZ3,2),2)</f>
        <v>298.89</v>
      </c>
      <c r="DC3">
        <f>ROUND(ROUND(AT3*AG3,2),2)</f>
        <v>0</v>
      </c>
      <c r="DD3" t="s">
        <v>3</v>
      </c>
      <c r="DE3" t="s">
        <v>3</v>
      </c>
      <c r="DF3">
        <f t="shared" si="0"/>
        <v>0</v>
      </c>
      <c r="DG3">
        <f>ROUND(ROUND(AF3,2)*CX3,2)</f>
        <v>0</v>
      </c>
      <c r="DH3">
        <f>ROUND(ROUND(AG3,2)*CX3,2)</f>
        <v>0</v>
      </c>
      <c r="DI3">
        <f t="shared" si="1"/>
        <v>59.78</v>
      </c>
      <c r="DJ3">
        <f>DI3</f>
        <v>59.78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ROW(Source!A30)</f>
        <v>30</v>
      </c>
      <c r="B4">
        <v>94798619</v>
      </c>
      <c r="C4">
        <v>94798826</v>
      </c>
      <c r="D4">
        <v>23129805</v>
      </c>
      <c r="E4">
        <v>1</v>
      </c>
      <c r="F4">
        <v>1</v>
      </c>
      <c r="G4">
        <v>1</v>
      </c>
      <c r="H4">
        <v>1</v>
      </c>
      <c r="I4" t="s">
        <v>703</v>
      </c>
      <c r="J4" t="s">
        <v>3</v>
      </c>
      <c r="K4" t="s">
        <v>704</v>
      </c>
      <c r="L4">
        <v>1369</v>
      </c>
      <c r="N4">
        <v>1013</v>
      </c>
      <c r="O4" t="s">
        <v>696</v>
      </c>
      <c r="P4" t="s">
        <v>696</v>
      </c>
      <c r="Q4">
        <v>1</v>
      </c>
      <c r="W4">
        <v>0</v>
      </c>
      <c r="X4">
        <v>756115135</v>
      </c>
      <c r="Y4">
        <f>(AT4*0.8)</f>
        <v>28.512</v>
      </c>
      <c r="AA4">
        <v>0</v>
      </c>
      <c r="AB4">
        <v>0</v>
      </c>
      <c r="AC4">
        <v>0</v>
      </c>
      <c r="AD4">
        <v>7.97</v>
      </c>
      <c r="AE4">
        <v>0</v>
      </c>
      <c r="AF4">
        <v>0</v>
      </c>
      <c r="AG4">
        <v>0</v>
      </c>
      <c r="AH4">
        <v>7.97</v>
      </c>
      <c r="AI4">
        <v>1</v>
      </c>
      <c r="AJ4">
        <v>1</v>
      </c>
      <c r="AK4">
        <v>1</v>
      </c>
      <c r="AL4">
        <v>1</v>
      </c>
      <c r="AM4">
        <v>-2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35.64</v>
      </c>
      <c r="AU4" t="s">
        <v>39</v>
      </c>
      <c r="AV4">
        <v>1</v>
      </c>
      <c r="AW4">
        <v>2</v>
      </c>
      <c r="AX4">
        <v>94798827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U4">
        <f>ROUND(AT4*Source!I30*AH4*AL4,2)</f>
        <v>872.04</v>
      </c>
      <c r="CV4">
        <f>ROUND(Y4*Source!I30,9)</f>
        <v>87.531840000000003</v>
      </c>
      <c r="CW4">
        <v>0</v>
      </c>
      <c r="CX4">
        <f>ROUND(Y4*Source!I30,9)</f>
        <v>87.531840000000003</v>
      </c>
      <c r="CY4">
        <f>AD4</f>
        <v>7.97</v>
      </c>
      <c r="CZ4">
        <f>AH4</f>
        <v>7.97</v>
      </c>
      <c r="DA4">
        <f>AL4</f>
        <v>1</v>
      </c>
      <c r="DB4">
        <f>ROUND((ROUND(AT4*CZ4,2)*0.8),2)</f>
        <v>227.24</v>
      </c>
      <c r="DC4">
        <f>ROUND((ROUND(AT4*AG4,2)*0.8),2)</f>
        <v>0</v>
      </c>
      <c r="DD4" t="s">
        <v>3</v>
      </c>
      <c r="DE4" t="s">
        <v>3</v>
      </c>
      <c r="DF4">
        <f t="shared" si="0"/>
        <v>0</v>
      </c>
      <c r="DG4">
        <f>ROUND(ROUND(AF4,2)*CX4,2)</f>
        <v>0</v>
      </c>
      <c r="DH4">
        <f>ROUND(ROUND(AG4,2)*CX4,2)</f>
        <v>0</v>
      </c>
      <c r="DI4">
        <f t="shared" si="1"/>
        <v>697.63</v>
      </c>
      <c r="DJ4">
        <f>DI4</f>
        <v>697.63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ROW(Source!A30)</f>
        <v>30</v>
      </c>
      <c r="B5">
        <v>94798619</v>
      </c>
      <c r="C5">
        <v>94798826</v>
      </c>
      <c r="D5">
        <v>121548</v>
      </c>
      <c r="E5">
        <v>1</v>
      </c>
      <c r="F5">
        <v>1</v>
      </c>
      <c r="G5">
        <v>1</v>
      </c>
      <c r="H5">
        <v>1</v>
      </c>
      <c r="I5" t="s">
        <v>28</v>
      </c>
      <c r="J5" t="s">
        <v>3</v>
      </c>
      <c r="K5" t="s">
        <v>705</v>
      </c>
      <c r="L5">
        <v>608254</v>
      </c>
      <c r="N5">
        <v>1013</v>
      </c>
      <c r="O5" t="s">
        <v>706</v>
      </c>
      <c r="P5" t="s">
        <v>706</v>
      </c>
      <c r="Q5">
        <v>1</v>
      </c>
      <c r="W5">
        <v>0</v>
      </c>
      <c r="X5">
        <v>-185737400</v>
      </c>
      <c r="Y5">
        <f>(AT5*0.8)</f>
        <v>17.336000000000002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M5">
        <v>-2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21.67</v>
      </c>
      <c r="AU5" t="s">
        <v>39</v>
      </c>
      <c r="AV5">
        <v>2</v>
      </c>
      <c r="AW5">
        <v>2</v>
      </c>
      <c r="AX5">
        <v>94798828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V5">
        <v>0</v>
      </c>
      <c r="CW5">
        <v>0</v>
      </c>
      <c r="CX5">
        <f>ROUND(Y5*Source!I30,9)</f>
        <v>53.221519999999998</v>
      </c>
      <c r="CY5">
        <f>AD5</f>
        <v>0</v>
      </c>
      <c r="CZ5">
        <f>AH5</f>
        <v>0</v>
      </c>
      <c r="DA5">
        <f>AL5</f>
        <v>1</v>
      </c>
      <c r="DB5">
        <f>ROUND((ROUND(AT5*CZ5,2)*0.8),2)</f>
        <v>0</v>
      </c>
      <c r="DC5">
        <f>ROUND((ROUND(AT5*AG5,2)*0.8),2)</f>
        <v>0</v>
      </c>
      <c r="DD5" t="s">
        <v>3</v>
      </c>
      <c r="DE5" t="s">
        <v>3</v>
      </c>
      <c r="DF5">
        <f t="shared" si="0"/>
        <v>0</v>
      </c>
      <c r="DG5">
        <f>ROUND(ROUND(AF5,2)*CX5,2)</f>
        <v>0</v>
      </c>
      <c r="DH5">
        <f>ROUND(ROUND(AG5,2)*CX5,2)</f>
        <v>0</v>
      </c>
      <c r="DI5">
        <f t="shared" si="1"/>
        <v>0</v>
      </c>
      <c r="DJ5">
        <f>DI5</f>
        <v>0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ROW(Source!A30)</f>
        <v>30</v>
      </c>
      <c r="B6">
        <v>94798619</v>
      </c>
      <c r="C6">
        <v>94798826</v>
      </c>
      <c r="D6">
        <v>37802953</v>
      </c>
      <c r="E6">
        <v>1</v>
      </c>
      <c r="F6">
        <v>1</v>
      </c>
      <c r="G6">
        <v>1</v>
      </c>
      <c r="H6">
        <v>2</v>
      </c>
      <c r="I6" t="s">
        <v>707</v>
      </c>
      <c r="J6" t="s">
        <v>708</v>
      </c>
      <c r="K6" t="s">
        <v>709</v>
      </c>
      <c r="L6">
        <v>1368</v>
      </c>
      <c r="N6">
        <v>1011</v>
      </c>
      <c r="O6" t="s">
        <v>700</v>
      </c>
      <c r="P6" t="s">
        <v>700</v>
      </c>
      <c r="Q6">
        <v>1</v>
      </c>
      <c r="W6">
        <v>0</v>
      </c>
      <c r="X6">
        <v>-1484005730</v>
      </c>
      <c r="Y6">
        <f>(AT6*0.8)</f>
        <v>8.5920000000000005</v>
      </c>
      <c r="AA6">
        <v>0</v>
      </c>
      <c r="AB6">
        <v>1532.79</v>
      </c>
      <c r="AC6">
        <v>426.77</v>
      </c>
      <c r="AD6">
        <v>0</v>
      </c>
      <c r="AE6">
        <v>0</v>
      </c>
      <c r="AF6">
        <v>189</v>
      </c>
      <c r="AG6">
        <v>12.1</v>
      </c>
      <c r="AH6">
        <v>0</v>
      </c>
      <c r="AI6">
        <v>1</v>
      </c>
      <c r="AJ6">
        <v>8.11</v>
      </c>
      <c r="AK6">
        <v>35.270000000000003</v>
      </c>
      <c r="AL6">
        <v>1</v>
      </c>
      <c r="AM6">
        <v>2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10.74</v>
      </c>
      <c r="AU6" t="s">
        <v>39</v>
      </c>
      <c r="AV6">
        <v>0</v>
      </c>
      <c r="AW6">
        <v>2</v>
      </c>
      <c r="AX6">
        <v>94798829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V6">
        <v>0</v>
      </c>
      <c r="CW6">
        <f>ROUND(Y6*Source!I30*DO6,9)</f>
        <v>0</v>
      </c>
      <c r="CX6">
        <f>ROUND(Y6*Source!I30,9)</f>
        <v>26.37744</v>
      </c>
      <c r="CY6">
        <f>AB6</f>
        <v>1532.79</v>
      </c>
      <c r="CZ6">
        <f>AF6</f>
        <v>189</v>
      </c>
      <c r="DA6">
        <f>AJ6</f>
        <v>8.11</v>
      </c>
      <c r="DB6">
        <f>ROUND((ROUND(AT6*CZ6,2)*0.8),2)</f>
        <v>1623.89</v>
      </c>
      <c r="DC6">
        <f>ROUND((ROUND(AT6*AG6,2)*0.8),2)</f>
        <v>103.96</v>
      </c>
      <c r="DD6" t="s">
        <v>3</v>
      </c>
      <c r="DE6" t="s">
        <v>3</v>
      </c>
      <c r="DF6">
        <f t="shared" si="0"/>
        <v>0</v>
      </c>
      <c r="DG6">
        <f>ROUND(ROUND(AF6*AJ6,2)*CX6,2)</f>
        <v>40431.08</v>
      </c>
      <c r="DH6">
        <f>ROUND(ROUND(AG6*AK6,2)*CX6,2)</f>
        <v>11257.1</v>
      </c>
      <c r="DI6">
        <f t="shared" si="1"/>
        <v>0</v>
      </c>
      <c r="DJ6">
        <f>DG6</f>
        <v>40431.08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ROW(Source!A30)</f>
        <v>30</v>
      </c>
      <c r="B7">
        <v>94798619</v>
      </c>
      <c r="C7">
        <v>94798826</v>
      </c>
      <c r="D7">
        <v>37803498</v>
      </c>
      <c r="E7">
        <v>1</v>
      </c>
      <c r="F7">
        <v>1</v>
      </c>
      <c r="G7">
        <v>1</v>
      </c>
      <c r="H7">
        <v>2</v>
      </c>
      <c r="I7" t="s">
        <v>710</v>
      </c>
      <c r="J7" t="s">
        <v>711</v>
      </c>
      <c r="K7" t="s">
        <v>712</v>
      </c>
      <c r="L7">
        <v>1368</v>
      </c>
      <c r="N7">
        <v>1011</v>
      </c>
      <c r="O7" t="s">
        <v>700</v>
      </c>
      <c r="P7" t="s">
        <v>700</v>
      </c>
      <c r="Q7">
        <v>1</v>
      </c>
      <c r="W7">
        <v>0</v>
      </c>
      <c r="X7">
        <v>365905357</v>
      </c>
      <c r="Y7">
        <f>(AT7*0.8)</f>
        <v>8.7439999999999998</v>
      </c>
      <c r="AA7">
        <v>0</v>
      </c>
      <c r="AB7">
        <v>2147.73</v>
      </c>
      <c r="AC7">
        <v>365.04</v>
      </c>
      <c r="AD7">
        <v>0</v>
      </c>
      <c r="AE7">
        <v>0</v>
      </c>
      <c r="AF7">
        <v>123.86</v>
      </c>
      <c r="AG7">
        <v>10.35</v>
      </c>
      <c r="AH7">
        <v>0</v>
      </c>
      <c r="AI7">
        <v>1</v>
      </c>
      <c r="AJ7">
        <v>17.34</v>
      </c>
      <c r="AK7">
        <v>35.270000000000003</v>
      </c>
      <c r="AL7">
        <v>1</v>
      </c>
      <c r="AM7">
        <v>2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10.93</v>
      </c>
      <c r="AU7" t="s">
        <v>39</v>
      </c>
      <c r="AV7">
        <v>0</v>
      </c>
      <c r="AW7">
        <v>2</v>
      </c>
      <c r="AX7">
        <v>94798830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V7">
        <v>0</v>
      </c>
      <c r="CW7">
        <f>ROUND(Y7*Source!I30*DO7,9)</f>
        <v>0</v>
      </c>
      <c r="CX7">
        <f>ROUND(Y7*Source!I30,9)</f>
        <v>26.844080000000002</v>
      </c>
      <c r="CY7">
        <f>AB7</f>
        <v>2147.73</v>
      </c>
      <c r="CZ7">
        <f>AF7</f>
        <v>123.86</v>
      </c>
      <c r="DA7">
        <f>AJ7</f>
        <v>17.34</v>
      </c>
      <c r="DB7">
        <f>ROUND((ROUND(AT7*CZ7,2)*0.8),2)</f>
        <v>1083.03</v>
      </c>
      <c r="DC7">
        <f>ROUND((ROUND(AT7*AG7,2)*0.8),2)</f>
        <v>90.5</v>
      </c>
      <c r="DD7" t="s">
        <v>3</v>
      </c>
      <c r="DE7" t="s">
        <v>3</v>
      </c>
      <c r="DF7">
        <f t="shared" si="0"/>
        <v>0</v>
      </c>
      <c r="DG7">
        <f>ROUND(ROUND(AF7*AJ7,2)*CX7,2)</f>
        <v>57653.84</v>
      </c>
      <c r="DH7">
        <f>ROUND(ROUND(AG7*AK7,2)*CX7,2)</f>
        <v>9799.16</v>
      </c>
      <c r="DI7">
        <f t="shared" si="1"/>
        <v>0</v>
      </c>
      <c r="DJ7">
        <f>DG7</f>
        <v>57653.84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ROW(Source!A30)</f>
        <v>30</v>
      </c>
      <c r="B8">
        <v>94798619</v>
      </c>
      <c r="C8">
        <v>94798826</v>
      </c>
      <c r="D8">
        <v>37804456</v>
      </c>
      <c r="E8">
        <v>1</v>
      </c>
      <c r="F8">
        <v>1</v>
      </c>
      <c r="G8">
        <v>1</v>
      </c>
      <c r="H8">
        <v>2</v>
      </c>
      <c r="I8" t="s">
        <v>713</v>
      </c>
      <c r="J8" t="s">
        <v>714</v>
      </c>
      <c r="K8" t="s">
        <v>715</v>
      </c>
      <c r="L8">
        <v>1368</v>
      </c>
      <c r="N8">
        <v>1011</v>
      </c>
      <c r="O8" t="s">
        <v>700</v>
      </c>
      <c r="P8" t="s">
        <v>700</v>
      </c>
      <c r="Q8">
        <v>1</v>
      </c>
      <c r="W8">
        <v>0</v>
      </c>
      <c r="X8">
        <v>-671646184</v>
      </c>
      <c r="Y8">
        <f>(AT8*0.8)</f>
        <v>0.64800000000000013</v>
      </c>
      <c r="AA8">
        <v>0</v>
      </c>
      <c r="AB8">
        <v>1305.74</v>
      </c>
      <c r="AC8">
        <v>365.04</v>
      </c>
      <c r="AD8">
        <v>0</v>
      </c>
      <c r="AE8">
        <v>0</v>
      </c>
      <c r="AF8">
        <v>91.76</v>
      </c>
      <c r="AG8">
        <v>10.35</v>
      </c>
      <c r="AH8">
        <v>0</v>
      </c>
      <c r="AI8">
        <v>1</v>
      </c>
      <c r="AJ8">
        <v>14.23</v>
      </c>
      <c r="AK8">
        <v>35.270000000000003</v>
      </c>
      <c r="AL8">
        <v>1</v>
      </c>
      <c r="AM8">
        <v>2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0.81</v>
      </c>
      <c r="AU8" t="s">
        <v>39</v>
      </c>
      <c r="AV8">
        <v>0</v>
      </c>
      <c r="AW8">
        <v>2</v>
      </c>
      <c r="AX8">
        <v>94798831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V8">
        <v>0</v>
      </c>
      <c r="CW8">
        <f>ROUND(Y8*Source!I30*DO8,9)</f>
        <v>0</v>
      </c>
      <c r="CX8">
        <f>ROUND(Y8*Source!I30,9)</f>
        <v>1.98936</v>
      </c>
      <c r="CY8">
        <f>AB8</f>
        <v>1305.74</v>
      </c>
      <c r="CZ8">
        <f>AF8</f>
        <v>91.76</v>
      </c>
      <c r="DA8">
        <f>AJ8</f>
        <v>14.23</v>
      </c>
      <c r="DB8">
        <f>ROUND((ROUND(AT8*CZ8,2)*0.8),2)</f>
        <v>59.46</v>
      </c>
      <c r="DC8">
        <f>ROUND((ROUND(AT8*AG8,2)*0.8),2)</f>
        <v>6.7</v>
      </c>
      <c r="DD8" t="s">
        <v>3</v>
      </c>
      <c r="DE8" t="s">
        <v>3</v>
      </c>
      <c r="DF8">
        <f t="shared" si="0"/>
        <v>0</v>
      </c>
      <c r="DG8">
        <f>ROUND(ROUND(AF8*AJ8,2)*CX8,2)</f>
        <v>2597.59</v>
      </c>
      <c r="DH8">
        <f>ROUND(ROUND(AG8*AK8,2)*CX8,2)</f>
        <v>726.2</v>
      </c>
      <c r="DI8">
        <f t="shared" si="1"/>
        <v>0</v>
      </c>
      <c r="DJ8">
        <f>DG8</f>
        <v>2597.59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ROW(Source!A30)</f>
        <v>30</v>
      </c>
      <c r="B9">
        <v>94798619</v>
      </c>
      <c r="C9">
        <v>94798826</v>
      </c>
      <c r="D9">
        <v>37751670</v>
      </c>
      <c r="E9">
        <v>1</v>
      </c>
      <c r="F9">
        <v>1</v>
      </c>
      <c r="G9">
        <v>1</v>
      </c>
      <c r="H9">
        <v>3</v>
      </c>
      <c r="I9" t="s">
        <v>716</v>
      </c>
      <c r="J9" t="s">
        <v>717</v>
      </c>
      <c r="K9" t="s">
        <v>718</v>
      </c>
      <c r="L9">
        <v>1301</v>
      </c>
      <c r="N9">
        <v>1003</v>
      </c>
      <c r="O9" t="s">
        <v>368</v>
      </c>
      <c r="P9" t="s">
        <v>368</v>
      </c>
      <c r="Q9">
        <v>1</v>
      </c>
      <c r="W9">
        <v>0</v>
      </c>
      <c r="X9">
        <v>723599891</v>
      </c>
      <c r="Y9">
        <f>(AT9*0)</f>
        <v>0</v>
      </c>
      <c r="AA9">
        <v>43.74</v>
      </c>
      <c r="AB9">
        <v>0</v>
      </c>
      <c r="AC9">
        <v>0</v>
      </c>
      <c r="AD9">
        <v>0</v>
      </c>
      <c r="AE9">
        <v>4.2300000000000004</v>
      </c>
      <c r="AF9">
        <v>0</v>
      </c>
      <c r="AG9">
        <v>0</v>
      </c>
      <c r="AH9">
        <v>0</v>
      </c>
      <c r="AI9">
        <v>10.34</v>
      </c>
      <c r="AJ9">
        <v>1</v>
      </c>
      <c r="AK9">
        <v>1</v>
      </c>
      <c r="AL9">
        <v>1</v>
      </c>
      <c r="AM9">
        <v>2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55.9</v>
      </c>
      <c r="AU9" t="s">
        <v>38</v>
      </c>
      <c r="AV9">
        <v>0</v>
      </c>
      <c r="AW9">
        <v>2</v>
      </c>
      <c r="AX9">
        <v>94798832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V9">
        <v>0</v>
      </c>
      <c r="CW9">
        <v>0</v>
      </c>
      <c r="CX9">
        <f>ROUND(Y9*Source!I30,9)</f>
        <v>0</v>
      </c>
      <c r="CY9">
        <f>AA9</f>
        <v>43.74</v>
      </c>
      <c r="CZ9">
        <f>AE9</f>
        <v>4.2300000000000004</v>
      </c>
      <c r="DA9">
        <f>AI9</f>
        <v>10.34</v>
      </c>
      <c r="DB9">
        <f>ROUND((ROUND(AT9*CZ9,2)*0),2)</f>
        <v>0</v>
      </c>
      <c r="DC9">
        <f>ROUND((ROUND(AT9*AG9,2)*0),2)</f>
        <v>0</v>
      </c>
      <c r="DD9" t="s">
        <v>3</v>
      </c>
      <c r="DE9" t="s">
        <v>3</v>
      </c>
      <c r="DF9">
        <f>ROUND(ROUND(AE9*AI9,2)*CX9,2)</f>
        <v>0</v>
      </c>
      <c r="DG9">
        <f>ROUND(ROUND(AF9,2)*CX9,2)</f>
        <v>0</v>
      </c>
      <c r="DH9">
        <f>ROUND(ROUND(AG9,2)*CX9,2)</f>
        <v>0</v>
      </c>
      <c r="DI9">
        <f t="shared" si="1"/>
        <v>0</v>
      </c>
      <c r="DJ9">
        <f>DF9</f>
        <v>0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ROW(Source!A30)</f>
        <v>30</v>
      </c>
      <c r="B10">
        <v>94798619</v>
      </c>
      <c r="C10">
        <v>94798826</v>
      </c>
      <c r="D10">
        <v>37751161</v>
      </c>
      <c r="E10">
        <v>1</v>
      </c>
      <c r="F10">
        <v>1</v>
      </c>
      <c r="G10">
        <v>1</v>
      </c>
      <c r="H10">
        <v>3</v>
      </c>
      <c r="I10" t="s">
        <v>45</v>
      </c>
      <c r="J10" t="s">
        <v>48</v>
      </c>
      <c r="K10" t="s">
        <v>46</v>
      </c>
      <c r="L10">
        <v>1354</v>
      </c>
      <c r="N10">
        <v>1010</v>
      </c>
      <c r="O10" t="s">
        <v>47</v>
      </c>
      <c r="P10" t="s">
        <v>47</v>
      </c>
      <c r="Q10">
        <v>1</v>
      </c>
      <c r="W10">
        <v>0</v>
      </c>
      <c r="X10">
        <v>-138700279</v>
      </c>
      <c r="Y10">
        <f>(AT10*0)</f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M10">
        <v>0</v>
      </c>
      <c r="AN10">
        <v>0</v>
      </c>
      <c r="AO10">
        <v>0</v>
      </c>
      <c r="AP10">
        <v>1</v>
      </c>
      <c r="AQ10">
        <v>0</v>
      </c>
      <c r="AR10">
        <v>0</v>
      </c>
      <c r="AS10" t="s">
        <v>3</v>
      </c>
      <c r="AT10">
        <v>100</v>
      </c>
      <c r="AU10" t="s">
        <v>38</v>
      </c>
      <c r="AV10">
        <v>0</v>
      </c>
      <c r="AW10">
        <v>2</v>
      </c>
      <c r="AX10">
        <v>94798833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V10">
        <v>0</v>
      </c>
      <c r="CW10">
        <v>0</v>
      </c>
      <c r="CX10">
        <f>ROUND(Y10*Source!I30,9)</f>
        <v>0</v>
      </c>
      <c r="CY10">
        <f>AA10</f>
        <v>0</v>
      </c>
      <c r="CZ10">
        <f>AE10</f>
        <v>0</v>
      </c>
      <c r="DA10">
        <f>AI10</f>
        <v>1</v>
      </c>
      <c r="DB10">
        <f>ROUND((ROUND(AT10*CZ10,2)*0),2)</f>
        <v>0</v>
      </c>
      <c r="DC10">
        <f>ROUND((ROUND(AT10*AG10,2)*0),2)</f>
        <v>0</v>
      </c>
      <c r="DD10" t="s">
        <v>3</v>
      </c>
      <c r="DE10" t="s">
        <v>3</v>
      </c>
      <c r="DF10">
        <f t="shared" ref="DF10:DF17" si="2">ROUND(ROUND(AE10,2)*CX10,2)</f>
        <v>0</v>
      </c>
      <c r="DG10">
        <f>ROUND(ROUND(AF10,2)*CX10,2)</f>
        <v>0</v>
      </c>
      <c r="DH10">
        <f>ROUND(ROUND(AG10,2)*CX10,2)</f>
        <v>0</v>
      </c>
      <c r="DI10">
        <f t="shared" si="1"/>
        <v>0</v>
      </c>
      <c r="DJ10">
        <f>DF10</f>
        <v>0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ROW(Source!A30)</f>
        <v>30</v>
      </c>
      <c r="B11">
        <v>94798619</v>
      </c>
      <c r="C11">
        <v>94798826</v>
      </c>
      <c r="D11">
        <v>37767799</v>
      </c>
      <c r="E11">
        <v>1</v>
      </c>
      <c r="F11">
        <v>1</v>
      </c>
      <c r="G11">
        <v>1</v>
      </c>
      <c r="H11">
        <v>3</v>
      </c>
      <c r="I11" t="s">
        <v>50</v>
      </c>
      <c r="J11" t="s">
        <v>53</v>
      </c>
      <c r="K11" t="s">
        <v>51</v>
      </c>
      <c r="L11">
        <v>1339</v>
      </c>
      <c r="N11">
        <v>1007</v>
      </c>
      <c r="O11" t="s">
        <v>52</v>
      </c>
      <c r="P11" t="s">
        <v>52</v>
      </c>
      <c r="Q11">
        <v>1</v>
      </c>
      <c r="W11">
        <v>0</v>
      </c>
      <c r="X11">
        <v>-255290429</v>
      </c>
      <c r="Y11">
        <f>(AT11*0)</f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M11">
        <v>0</v>
      </c>
      <c r="AN11">
        <v>0</v>
      </c>
      <c r="AO11">
        <v>0</v>
      </c>
      <c r="AP11">
        <v>1</v>
      </c>
      <c r="AQ11">
        <v>0</v>
      </c>
      <c r="AR11">
        <v>0</v>
      </c>
      <c r="AS11" t="s">
        <v>3</v>
      </c>
      <c r="AT11">
        <v>6.34</v>
      </c>
      <c r="AU11" t="s">
        <v>38</v>
      </c>
      <c r="AV11">
        <v>0</v>
      </c>
      <c r="AW11">
        <v>2</v>
      </c>
      <c r="AX11">
        <v>94798834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V11">
        <v>0</v>
      </c>
      <c r="CW11">
        <v>0</v>
      </c>
      <c r="CX11">
        <f>ROUND(Y11*Source!I30,9)</f>
        <v>0</v>
      </c>
      <c r="CY11">
        <f>AA11</f>
        <v>0</v>
      </c>
      <c r="CZ11">
        <f>AE11</f>
        <v>0</v>
      </c>
      <c r="DA11">
        <f>AI11</f>
        <v>1</v>
      </c>
      <c r="DB11">
        <f>ROUND((ROUND(AT11*CZ11,2)*0),2)</f>
        <v>0</v>
      </c>
      <c r="DC11">
        <f>ROUND((ROUND(AT11*AG11,2)*0),2)</f>
        <v>0</v>
      </c>
      <c r="DD11" t="s">
        <v>3</v>
      </c>
      <c r="DE11" t="s">
        <v>3</v>
      </c>
      <c r="DF11">
        <f t="shared" si="2"/>
        <v>0</v>
      </c>
      <c r="DG11">
        <f>ROUND(ROUND(AF11,2)*CX11,2)</f>
        <v>0</v>
      </c>
      <c r="DH11">
        <f>ROUND(ROUND(AG11,2)*CX11,2)</f>
        <v>0</v>
      </c>
      <c r="DI11">
        <f t="shared" si="1"/>
        <v>0</v>
      </c>
      <c r="DJ11">
        <f>DF11</f>
        <v>0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ROW(Source!A33)</f>
        <v>33</v>
      </c>
      <c r="B12">
        <v>94798619</v>
      </c>
      <c r="C12">
        <v>94798874</v>
      </c>
      <c r="D12">
        <v>23134628</v>
      </c>
      <c r="E12">
        <v>1</v>
      </c>
      <c r="F12">
        <v>1</v>
      </c>
      <c r="G12">
        <v>1</v>
      </c>
      <c r="H12">
        <v>1</v>
      </c>
      <c r="I12" t="s">
        <v>719</v>
      </c>
      <c r="J12" t="s">
        <v>3</v>
      </c>
      <c r="K12" t="s">
        <v>720</v>
      </c>
      <c r="L12">
        <v>1369</v>
      </c>
      <c r="N12">
        <v>1013</v>
      </c>
      <c r="O12" t="s">
        <v>696</v>
      </c>
      <c r="P12" t="s">
        <v>696</v>
      </c>
      <c r="Q12">
        <v>1</v>
      </c>
      <c r="W12">
        <v>0</v>
      </c>
      <c r="X12">
        <v>-300987236</v>
      </c>
      <c r="Y12">
        <f t="shared" ref="Y12:Y17" si="3">(AT12*0.7)</f>
        <v>133.52500000000001</v>
      </c>
      <c r="AA12">
        <v>0</v>
      </c>
      <c r="AB12">
        <v>0</v>
      </c>
      <c r="AC12">
        <v>0</v>
      </c>
      <c r="AD12">
        <v>8.68</v>
      </c>
      <c r="AE12">
        <v>0</v>
      </c>
      <c r="AF12">
        <v>0</v>
      </c>
      <c r="AG12">
        <v>0</v>
      </c>
      <c r="AH12">
        <v>8.68</v>
      </c>
      <c r="AI12">
        <v>1</v>
      </c>
      <c r="AJ12">
        <v>1</v>
      </c>
      <c r="AK12">
        <v>1</v>
      </c>
      <c r="AL12">
        <v>1</v>
      </c>
      <c r="AM12">
        <v>-2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190.75</v>
      </c>
      <c r="AU12" t="s">
        <v>59</v>
      </c>
      <c r="AV12">
        <v>1</v>
      </c>
      <c r="AW12">
        <v>2</v>
      </c>
      <c r="AX12">
        <v>94798892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U12">
        <f>ROUND(AT12*Source!I33*AH12*AL12,2)</f>
        <v>10174.34</v>
      </c>
      <c r="CV12">
        <f>ROUND(Y12*Source!I33,9)</f>
        <v>820.51112499999999</v>
      </c>
      <c r="CW12">
        <v>0</v>
      </c>
      <c r="CX12">
        <f>ROUND(Y12*Source!I33,9)</f>
        <v>820.51112499999999</v>
      </c>
      <c r="CY12">
        <f>AD12</f>
        <v>8.68</v>
      </c>
      <c r="CZ12">
        <f>AH12</f>
        <v>8.68</v>
      </c>
      <c r="DA12">
        <f>AL12</f>
        <v>1</v>
      </c>
      <c r="DB12">
        <f t="shared" ref="DB12:DB17" si="4">ROUND((ROUND(AT12*CZ12,2)*0.7),2)</f>
        <v>1159</v>
      </c>
      <c r="DC12">
        <f t="shared" ref="DC12:DC17" si="5">ROUND((ROUND(AT12*AG12,2)*0.7),2)</f>
        <v>0</v>
      </c>
      <c r="DD12" t="s">
        <v>3</v>
      </c>
      <c r="DE12" t="s">
        <v>3</v>
      </c>
      <c r="DF12">
        <f t="shared" si="2"/>
        <v>0</v>
      </c>
      <c r="DG12">
        <f>ROUND(ROUND(AF12,2)*CX12,2)</f>
        <v>0</v>
      </c>
      <c r="DH12">
        <f>ROUND(ROUND(AG12,2)*CX12,2)</f>
        <v>0</v>
      </c>
      <c r="DI12">
        <f t="shared" si="1"/>
        <v>7122.04</v>
      </c>
      <c r="DJ12">
        <f>DI12</f>
        <v>7122.04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ROW(Source!A33)</f>
        <v>33</v>
      </c>
      <c r="B13">
        <v>94798619</v>
      </c>
      <c r="C13">
        <v>94798874</v>
      </c>
      <c r="D13">
        <v>121548</v>
      </c>
      <c r="E13">
        <v>1</v>
      </c>
      <c r="F13">
        <v>1</v>
      </c>
      <c r="G13">
        <v>1</v>
      </c>
      <c r="H13">
        <v>1</v>
      </c>
      <c r="I13" t="s">
        <v>28</v>
      </c>
      <c r="J13" t="s">
        <v>3</v>
      </c>
      <c r="K13" t="s">
        <v>705</v>
      </c>
      <c r="L13">
        <v>608254</v>
      </c>
      <c r="N13">
        <v>1013</v>
      </c>
      <c r="O13" t="s">
        <v>706</v>
      </c>
      <c r="P13" t="s">
        <v>706</v>
      </c>
      <c r="Q13">
        <v>1</v>
      </c>
      <c r="W13">
        <v>0</v>
      </c>
      <c r="X13">
        <v>-185737400</v>
      </c>
      <c r="Y13">
        <f t="shared" si="3"/>
        <v>14.153999999999998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M13">
        <v>-2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20.22</v>
      </c>
      <c r="AU13" t="s">
        <v>59</v>
      </c>
      <c r="AV13">
        <v>2</v>
      </c>
      <c r="AW13">
        <v>2</v>
      </c>
      <c r="AX13">
        <v>94798893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V13">
        <v>0</v>
      </c>
      <c r="CW13">
        <v>0</v>
      </c>
      <c r="CX13">
        <f>ROUND(Y13*Source!I33,9)</f>
        <v>86.976330000000004</v>
      </c>
      <c r="CY13">
        <f>AD13</f>
        <v>0</v>
      </c>
      <c r="CZ13">
        <f>AH13</f>
        <v>0</v>
      </c>
      <c r="DA13">
        <f>AL13</f>
        <v>1</v>
      </c>
      <c r="DB13">
        <f t="shared" si="4"/>
        <v>0</v>
      </c>
      <c r="DC13">
        <f t="shared" si="5"/>
        <v>0</v>
      </c>
      <c r="DD13" t="s">
        <v>3</v>
      </c>
      <c r="DE13" t="s">
        <v>3</v>
      </c>
      <c r="DF13">
        <f t="shared" si="2"/>
        <v>0</v>
      </c>
      <c r="DG13">
        <f>ROUND(ROUND(AF13,2)*CX13,2)</f>
        <v>0</v>
      </c>
      <c r="DH13">
        <f>ROUND(ROUND(AG13,2)*CX13,2)</f>
        <v>0</v>
      </c>
      <c r="DI13">
        <f t="shared" si="1"/>
        <v>0</v>
      </c>
      <c r="DJ13">
        <f>DI13</f>
        <v>0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ROW(Source!A33)</f>
        <v>33</v>
      </c>
      <c r="B14">
        <v>94798619</v>
      </c>
      <c r="C14">
        <v>94798874</v>
      </c>
      <c r="D14">
        <v>37802443</v>
      </c>
      <c r="E14">
        <v>1</v>
      </c>
      <c r="F14">
        <v>1</v>
      </c>
      <c r="G14">
        <v>1</v>
      </c>
      <c r="H14">
        <v>2</v>
      </c>
      <c r="I14" t="s">
        <v>721</v>
      </c>
      <c r="J14" t="s">
        <v>722</v>
      </c>
      <c r="K14" t="s">
        <v>723</v>
      </c>
      <c r="L14">
        <v>1368</v>
      </c>
      <c r="N14">
        <v>1011</v>
      </c>
      <c r="O14" t="s">
        <v>700</v>
      </c>
      <c r="P14" t="s">
        <v>700</v>
      </c>
      <c r="Q14">
        <v>1</v>
      </c>
      <c r="W14">
        <v>0</v>
      </c>
      <c r="X14">
        <v>1447433125</v>
      </c>
      <c r="Y14">
        <f t="shared" si="3"/>
        <v>14.153999999999998</v>
      </c>
      <c r="AA14">
        <v>0</v>
      </c>
      <c r="AB14">
        <v>1453.68</v>
      </c>
      <c r="AC14">
        <v>426.77</v>
      </c>
      <c r="AD14">
        <v>0</v>
      </c>
      <c r="AE14">
        <v>0</v>
      </c>
      <c r="AF14">
        <v>124.14</v>
      </c>
      <c r="AG14">
        <v>12.1</v>
      </c>
      <c r="AH14">
        <v>0</v>
      </c>
      <c r="AI14">
        <v>1</v>
      </c>
      <c r="AJ14">
        <v>11.71</v>
      </c>
      <c r="AK14">
        <v>35.270000000000003</v>
      </c>
      <c r="AL14">
        <v>1</v>
      </c>
      <c r="AM14">
        <v>2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20.22</v>
      </c>
      <c r="AU14" t="s">
        <v>59</v>
      </c>
      <c r="AV14">
        <v>0</v>
      </c>
      <c r="AW14">
        <v>2</v>
      </c>
      <c r="AX14">
        <v>94798894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V14">
        <v>0</v>
      </c>
      <c r="CW14">
        <f>ROUND(Y14*Source!I33*DO14,9)</f>
        <v>0</v>
      </c>
      <c r="CX14">
        <f>ROUND(Y14*Source!I33,9)</f>
        <v>86.976330000000004</v>
      </c>
      <c r="CY14">
        <f>AB14</f>
        <v>1453.68</v>
      </c>
      <c r="CZ14">
        <f>AF14</f>
        <v>124.14</v>
      </c>
      <c r="DA14">
        <f>AJ14</f>
        <v>11.71</v>
      </c>
      <c r="DB14">
        <f t="shared" si="4"/>
        <v>1757.08</v>
      </c>
      <c r="DC14">
        <f t="shared" si="5"/>
        <v>171.26</v>
      </c>
      <c r="DD14" t="s">
        <v>3</v>
      </c>
      <c r="DE14" t="s">
        <v>3</v>
      </c>
      <c r="DF14">
        <f t="shared" si="2"/>
        <v>0</v>
      </c>
      <c r="DG14">
        <f>ROUND(ROUND(AF14*AJ14,2)*CX14,2)</f>
        <v>126435.75</v>
      </c>
      <c r="DH14">
        <f>ROUND(ROUND(AG14*AK14,2)*CX14,2)</f>
        <v>37118.89</v>
      </c>
      <c r="DI14">
        <f t="shared" si="1"/>
        <v>0</v>
      </c>
      <c r="DJ14">
        <f>DG14</f>
        <v>126435.75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ROW(Source!A33)</f>
        <v>33</v>
      </c>
      <c r="B15">
        <v>94798619</v>
      </c>
      <c r="C15">
        <v>94798874</v>
      </c>
      <c r="D15">
        <v>37802643</v>
      </c>
      <c r="E15">
        <v>1</v>
      </c>
      <c r="F15">
        <v>1</v>
      </c>
      <c r="G15">
        <v>1</v>
      </c>
      <c r="H15">
        <v>2</v>
      </c>
      <c r="I15" t="s">
        <v>724</v>
      </c>
      <c r="J15" t="s">
        <v>725</v>
      </c>
      <c r="K15" t="s">
        <v>726</v>
      </c>
      <c r="L15">
        <v>1368</v>
      </c>
      <c r="N15">
        <v>1011</v>
      </c>
      <c r="O15" t="s">
        <v>700</v>
      </c>
      <c r="P15" t="s">
        <v>700</v>
      </c>
      <c r="Q15">
        <v>1</v>
      </c>
      <c r="W15">
        <v>0</v>
      </c>
      <c r="X15">
        <v>746500588</v>
      </c>
      <c r="Y15">
        <f t="shared" si="3"/>
        <v>4.8369999999999997</v>
      </c>
      <c r="AA15">
        <v>0</v>
      </c>
      <c r="AB15">
        <v>179.49</v>
      </c>
      <c r="AC15">
        <v>0</v>
      </c>
      <c r="AD15">
        <v>0</v>
      </c>
      <c r="AE15">
        <v>0</v>
      </c>
      <c r="AF15">
        <v>20.350000000000001</v>
      </c>
      <c r="AG15">
        <v>0</v>
      </c>
      <c r="AH15">
        <v>0</v>
      </c>
      <c r="AI15">
        <v>1</v>
      </c>
      <c r="AJ15">
        <v>8.82</v>
      </c>
      <c r="AK15">
        <v>35.270000000000003</v>
      </c>
      <c r="AL15">
        <v>1</v>
      </c>
      <c r="AM15">
        <v>2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6.91</v>
      </c>
      <c r="AU15" t="s">
        <v>59</v>
      </c>
      <c r="AV15">
        <v>0</v>
      </c>
      <c r="AW15">
        <v>2</v>
      </c>
      <c r="AX15">
        <v>94798895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V15">
        <v>0</v>
      </c>
      <c r="CW15">
        <f>ROUND(Y15*Source!I33*DO15,9)</f>
        <v>0</v>
      </c>
      <c r="CX15">
        <f>ROUND(Y15*Source!I33,9)</f>
        <v>29.723365000000001</v>
      </c>
      <c r="CY15">
        <f>AB15</f>
        <v>179.49</v>
      </c>
      <c r="CZ15">
        <f>AF15</f>
        <v>20.350000000000001</v>
      </c>
      <c r="DA15">
        <f>AJ15</f>
        <v>8.82</v>
      </c>
      <c r="DB15">
        <f t="shared" si="4"/>
        <v>98.43</v>
      </c>
      <c r="DC15">
        <f t="shared" si="5"/>
        <v>0</v>
      </c>
      <c r="DD15" t="s">
        <v>3</v>
      </c>
      <c r="DE15" t="s">
        <v>3</v>
      </c>
      <c r="DF15">
        <f t="shared" si="2"/>
        <v>0</v>
      </c>
      <c r="DG15">
        <f>ROUND(ROUND(AF15*AJ15,2)*CX15,2)</f>
        <v>5335.05</v>
      </c>
      <c r="DH15">
        <f>ROUND(ROUND(AG15*AK15,2)*CX15,2)</f>
        <v>0</v>
      </c>
      <c r="DI15">
        <f t="shared" si="1"/>
        <v>0</v>
      </c>
      <c r="DJ15">
        <f>DG15</f>
        <v>5335.05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ROW(Source!A33)</f>
        <v>33</v>
      </c>
      <c r="B16">
        <v>94798619</v>
      </c>
      <c r="C16">
        <v>94798874</v>
      </c>
      <c r="D16">
        <v>37802894</v>
      </c>
      <c r="E16">
        <v>1</v>
      </c>
      <c r="F16">
        <v>1</v>
      </c>
      <c r="G16">
        <v>1</v>
      </c>
      <c r="H16">
        <v>2</v>
      </c>
      <c r="I16" t="s">
        <v>727</v>
      </c>
      <c r="J16" t="s">
        <v>728</v>
      </c>
      <c r="K16" t="s">
        <v>729</v>
      </c>
      <c r="L16">
        <v>1368</v>
      </c>
      <c r="N16">
        <v>1011</v>
      </c>
      <c r="O16" t="s">
        <v>700</v>
      </c>
      <c r="P16" t="s">
        <v>700</v>
      </c>
      <c r="Q16">
        <v>1</v>
      </c>
      <c r="W16">
        <v>0</v>
      </c>
      <c r="X16">
        <v>-1548607267</v>
      </c>
      <c r="Y16">
        <f t="shared" si="3"/>
        <v>0.27999999999999997</v>
      </c>
      <c r="AA16">
        <v>0</v>
      </c>
      <c r="AB16">
        <v>42.24</v>
      </c>
      <c r="AC16">
        <v>0</v>
      </c>
      <c r="AD16">
        <v>0</v>
      </c>
      <c r="AE16">
        <v>0</v>
      </c>
      <c r="AF16">
        <v>8.0299999999999994</v>
      </c>
      <c r="AG16">
        <v>0</v>
      </c>
      <c r="AH16">
        <v>0</v>
      </c>
      <c r="AI16">
        <v>1</v>
      </c>
      <c r="AJ16">
        <v>5.26</v>
      </c>
      <c r="AK16">
        <v>35.270000000000003</v>
      </c>
      <c r="AL16">
        <v>1</v>
      </c>
      <c r="AM16">
        <v>2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0.4</v>
      </c>
      <c r="AU16" t="s">
        <v>59</v>
      </c>
      <c r="AV16">
        <v>0</v>
      </c>
      <c r="AW16">
        <v>2</v>
      </c>
      <c r="AX16">
        <v>94798896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V16">
        <v>0</v>
      </c>
      <c r="CW16">
        <f>ROUND(Y16*Source!I33*DO16,9)</f>
        <v>0</v>
      </c>
      <c r="CX16">
        <f>ROUND(Y16*Source!I33,9)</f>
        <v>1.7205999999999999</v>
      </c>
      <c r="CY16">
        <f>AB16</f>
        <v>42.24</v>
      </c>
      <c r="CZ16">
        <f>AF16</f>
        <v>8.0299999999999994</v>
      </c>
      <c r="DA16">
        <f>AJ16</f>
        <v>5.26</v>
      </c>
      <c r="DB16">
        <f t="shared" si="4"/>
        <v>2.25</v>
      </c>
      <c r="DC16">
        <f t="shared" si="5"/>
        <v>0</v>
      </c>
      <c r="DD16" t="s">
        <v>3</v>
      </c>
      <c r="DE16" t="s">
        <v>3</v>
      </c>
      <c r="DF16">
        <f t="shared" si="2"/>
        <v>0</v>
      </c>
      <c r="DG16">
        <f>ROUND(ROUND(AF16*AJ16,2)*CX16,2)</f>
        <v>72.680000000000007</v>
      </c>
      <c r="DH16">
        <f>ROUND(ROUND(AG16*AK16,2)*CX16,2)</f>
        <v>0</v>
      </c>
      <c r="DI16">
        <f t="shared" si="1"/>
        <v>0</v>
      </c>
      <c r="DJ16">
        <f>DG16</f>
        <v>72.680000000000007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ROW(Source!A33)</f>
        <v>33</v>
      </c>
      <c r="B17">
        <v>94798619</v>
      </c>
      <c r="C17">
        <v>94798874</v>
      </c>
      <c r="D17">
        <v>37804456</v>
      </c>
      <c r="E17">
        <v>1</v>
      </c>
      <c r="F17">
        <v>1</v>
      </c>
      <c r="G17">
        <v>1</v>
      </c>
      <c r="H17">
        <v>2</v>
      </c>
      <c r="I17" t="s">
        <v>713</v>
      </c>
      <c r="J17" t="s">
        <v>714</v>
      </c>
      <c r="K17" t="s">
        <v>715</v>
      </c>
      <c r="L17">
        <v>1368</v>
      </c>
      <c r="N17">
        <v>1011</v>
      </c>
      <c r="O17" t="s">
        <v>700</v>
      </c>
      <c r="P17" t="s">
        <v>700</v>
      </c>
      <c r="Q17">
        <v>1</v>
      </c>
      <c r="W17">
        <v>0</v>
      </c>
      <c r="X17">
        <v>-671646184</v>
      </c>
      <c r="Y17">
        <f t="shared" si="3"/>
        <v>0.27999999999999997</v>
      </c>
      <c r="AA17">
        <v>0</v>
      </c>
      <c r="AB17">
        <v>1305.74</v>
      </c>
      <c r="AC17">
        <v>365.04</v>
      </c>
      <c r="AD17">
        <v>0</v>
      </c>
      <c r="AE17">
        <v>0</v>
      </c>
      <c r="AF17">
        <v>91.76</v>
      </c>
      <c r="AG17">
        <v>10.35</v>
      </c>
      <c r="AH17">
        <v>0</v>
      </c>
      <c r="AI17">
        <v>1</v>
      </c>
      <c r="AJ17">
        <v>14.23</v>
      </c>
      <c r="AK17">
        <v>35.270000000000003</v>
      </c>
      <c r="AL17">
        <v>1</v>
      </c>
      <c r="AM17">
        <v>2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0.4</v>
      </c>
      <c r="AU17" t="s">
        <v>59</v>
      </c>
      <c r="AV17">
        <v>0</v>
      </c>
      <c r="AW17">
        <v>2</v>
      </c>
      <c r="AX17">
        <v>94798897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V17">
        <v>0</v>
      </c>
      <c r="CW17">
        <f>ROUND(Y17*Source!I33*DO17,9)</f>
        <v>0</v>
      </c>
      <c r="CX17">
        <f>ROUND(Y17*Source!I33,9)</f>
        <v>1.7205999999999999</v>
      </c>
      <c r="CY17">
        <f>AB17</f>
        <v>1305.74</v>
      </c>
      <c r="CZ17">
        <f>AF17</f>
        <v>91.76</v>
      </c>
      <c r="DA17">
        <f>AJ17</f>
        <v>14.23</v>
      </c>
      <c r="DB17">
        <f t="shared" si="4"/>
        <v>25.69</v>
      </c>
      <c r="DC17">
        <f t="shared" si="5"/>
        <v>2.9</v>
      </c>
      <c r="DD17" t="s">
        <v>3</v>
      </c>
      <c r="DE17" t="s">
        <v>3</v>
      </c>
      <c r="DF17">
        <f t="shared" si="2"/>
        <v>0</v>
      </c>
      <c r="DG17">
        <f>ROUND(ROUND(AF17*AJ17,2)*CX17,2)</f>
        <v>2246.66</v>
      </c>
      <c r="DH17">
        <f>ROUND(ROUND(AG17*AK17,2)*CX17,2)</f>
        <v>628.09</v>
      </c>
      <c r="DI17">
        <f t="shared" si="1"/>
        <v>0</v>
      </c>
      <c r="DJ17">
        <f>DG17</f>
        <v>2246.66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ROW(Source!A33)</f>
        <v>33</v>
      </c>
      <c r="B18">
        <v>94798619</v>
      </c>
      <c r="C18">
        <v>94798874</v>
      </c>
      <c r="D18">
        <v>37736279</v>
      </c>
      <c r="E18">
        <v>1</v>
      </c>
      <c r="F18">
        <v>1</v>
      </c>
      <c r="G18">
        <v>1</v>
      </c>
      <c r="H18">
        <v>3</v>
      </c>
      <c r="I18" t="s">
        <v>730</v>
      </c>
      <c r="J18" t="s">
        <v>731</v>
      </c>
      <c r="K18" t="s">
        <v>732</v>
      </c>
      <c r="L18">
        <v>1348</v>
      </c>
      <c r="N18">
        <v>1009</v>
      </c>
      <c r="O18" t="s">
        <v>170</v>
      </c>
      <c r="P18" t="s">
        <v>170</v>
      </c>
      <c r="Q18">
        <v>1000</v>
      </c>
      <c r="W18">
        <v>0</v>
      </c>
      <c r="X18">
        <v>-936228581</v>
      </c>
      <c r="Y18">
        <f t="shared" ref="Y18:Y26" si="6">(AT18*0)</f>
        <v>0</v>
      </c>
      <c r="AA18">
        <v>76806</v>
      </c>
      <c r="AB18">
        <v>0</v>
      </c>
      <c r="AC18">
        <v>0</v>
      </c>
      <c r="AD18">
        <v>0</v>
      </c>
      <c r="AE18">
        <v>10200</v>
      </c>
      <c r="AF18">
        <v>0</v>
      </c>
      <c r="AG18">
        <v>0</v>
      </c>
      <c r="AH18">
        <v>0</v>
      </c>
      <c r="AI18">
        <v>7.53</v>
      </c>
      <c r="AJ18">
        <v>1</v>
      </c>
      <c r="AK18">
        <v>1</v>
      </c>
      <c r="AL18">
        <v>1</v>
      </c>
      <c r="AM18">
        <v>2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1E-3</v>
      </c>
      <c r="AU18" t="s">
        <v>38</v>
      </c>
      <c r="AV18">
        <v>0</v>
      </c>
      <c r="AW18">
        <v>2</v>
      </c>
      <c r="AX18">
        <v>94798898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V18">
        <v>0</v>
      </c>
      <c r="CW18">
        <v>0</v>
      </c>
      <c r="CX18">
        <f>ROUND(Y18*Source!I33,9)</f>
        <v>0</v>
      </c>
      <c r="CY18">
        <f t="shared" ref="CY18:CY26" si="7">AA18</f>
        <v>76806</v>
      </c>
      <c r="CZ18">
        <f t="shared" ref="CZ18:CZ26" si="8">AE18</f>
        <v>10200</v>
      </c>
      <c r="DA18">
        <f t="shared" ref="DA18:DA26" si="9">AI18</f>
        <v>7.53</v>
      </c>
      <c r="DB18">
        <f t="shared" ref="DB18:DB26" si="10">ROUND((ROUND(AT18*CZ18,2)*0),2)</f>
        <v>0</v>
      </c>
      <c r="DC18">
        <f t="shared" ref="DC18:DC26" si="11">ROUND((ROUND(AT18*AG18,2)*0),2)</f>
        <v>0</v>
      </c>
      <c r="DD18" t="s">
        <v>3</v>
      </c>
      <c r="DE18" t="s">
        <v>3</v>
      </c>
      <c r="DF18">
        <f t="shared" ref="DF18:DF24" si="12">ROUND(ROUND(AE18*AI18,2)*CX18,2)</f>
        <v>0</v>
      </c>
      <c r="DG18">
        <f t="shared" ref="DG18:DG28" si="13">ROUND(ROUND(AF18,2)*CX18,2)</f>
        <v>0</v>
      </c>
      <c r="DH18">
        <f t="shared" ref="DH18:DH28" si="14">ROUND(ROUND(AG18,2)*CX18,2)</f>
        <v>0</v>
      </c>
      <c r="DI18">
        <f t="shared" si="1"/>
        <v>0</v>
      </c>
      <c r="DJ18">
        <f t="shared" ref="DJ18:DJ26" si="15">DF18</f>
        <v>0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ROW(Source!A33)</f>
        <v>33</v>
      </c>
      <c r="B19">
        <v>94798619</v>
      </c>
      <c r="C19">
        <v>94798874</v>
      </c>
      <c r="D19">
        <v>37735457</v>
      </c>
      <c r="E19">
        <v>1</v>
      </c>
      <c r="F19">
        <v>1</v>
      </c>
      <c r="G19">
        <v>1</v>
      </c>
      <c r="H19">
        <v>3</v>
      </c>
      <c r="I19" t="s">
        <v>733</v>
      </c>
      <c r="J19" t="s">
        <v>734</v>
      </c>
      <c r="K19" t="s">
        <v>735</v>
      </c>
      <c r="L19">
        <v>1327</v>
      </c>
      <c r="N19">
        <v>1005</v>
      </c>
      <c r="O19" t="s">
        <v>201</v>
      </c>
      <c r="P19" t="s">
        <v>201</v>
      </c>
      <c r="Q19">
        <v>1</v>
      </c>
      <c r="W19">
        <v>0</v>
      </c>
      <c r="X19">
        <v>103972200</v>
      </c>
      <c r="Y19">
        <f t="shared" si="6"/>
        <v>0</v>
      </c>
      <c r="AA19">
        <v>189.27</v>
      </c>
      <c r="AB19">
        <v>0</v>
      </c>
      <c r="AC19">
        <v>0</v>
      </c>
      <c r="AD19">
        <v>0</v>
      </c>
      <c r="AE19">
        <v>18.87</v>
      </c>
      <c r="AF19">
        <v>0</v>
      </c>
      <c r="AG19">
        <v>0</v>
      </c>
      <c r="AH19">
        <v>0</v>
      </c>
      <c r="AI19">
        <v>10.029999999999999</v>
      </c>
      <c r="AJ19">
        <v>1</v>
      </c>
      <c r="AK19">
        <v>1</v>
      </c>
      <c r="AL19">
        <v>1</v>
      </c>
      <c r="AM19">
        <v>2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100</v>
      </c>
      <c r="AU19" t="s">
        <v>38</v>
      </c>
      <c r="AV19">
        <v>0</v>
      </c>
      <c r="AW19">
        <v>2</v>
      </c>
      <c r="AX19">
        <v>94798899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V19">
        <v>0</v>
      </c>
      <c r="CW19">
        <v>0</v>
      </c>
      <c r="CX19">
        <f>ROUND(Y19*Source!I33,9)</f>
        <v>0</v>
      </c>
      <c r="CY19">
        <f t="shared" si="7"/>
        <v>189.27</v>
      </c>
      <c r="CZ19">
        <f t="shared" si="8"/>
        <v>18.87</v>
      </c>
      <c r="DA19">
        <f t="shared" si="9"/>
        <v>10.029999999999999</v>
      </c>
      <c r="DB19">
        <f t="shared" si="10"/>
        <v>0</v>
      </c>
      <c r="DC19">
        <f t="shared" si="11"/>
        <v>0</v>
      </c>
      <c r="DD19" t="s">
        <v>3</v>
      </c>
      <c r="DE19" t="s">
        <v>3</v>
      </c>
      <c r="DF19">
        <f t="shared" si="12"/>
        <v>0</v>
      </c>
      <c r="DG19">
        <f t="shared" si="13"/>
        <v>0</v>
      </c>
      <c r="DH19">
        <f t="shared" si="14"/>
        <v>0</v>
      </c>
      <c r="DI19">
        <f t="shared" si="1"/>
        <v>0</v>
      </c>
      <c r="DJ19">
        <f t="shared" si="15"/>
        <v>0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ROW(Source!A33)</f>
        <v>33</v>
      </c>
      <c r="B20">
        <v>94798619</v>
      </c>
      <c r="C20">
        <v>94798874</v>
      </c>
      <c r="D20">
        <v>37736612</v>
      </c>
      <c r="E20">
        <v>1</v>
      </c>
      <c r="F20">
        <v>1</v>
      </c>
      <c r="G20">
        <v>1</v>
      </c>
      <c r="H20">
        <v>3</v>
      </c>
      <c r="I20" t="s">
        <v>736</v>
      </c>
      <c r="J20" t="s">
        <v>737</v>
      </c>
      <c r="K20" t="s">
        <v>738</v>
      </c>
      <c r="L20">
        <v>1348</v>
      </c>
      <c r="N20">
        <v>1009</v>
      </c>
      <c r="O20" t="s">
        <v>170</v>
      </c>
      <c r="P20" t="s">
        <v>170</v>
      </c>
      <c r="Q20">
        <v>1000</v>
      </c>
      <c r="W20">
        <v>0</v>
      </c>
      <c r="X20">
        <v>950208609</v>
      </c>
      <c r="Y20">
        <f t="shared" si="6"/>
        <v>0</v>
      </c>
      <c r="AA20">
        <v>148428</v>
      </c>
      <c r="AB20">
        <v>0</v>
      </c>
      <c r="AC20">
        <v>0</v>
      </c>
      <c r="AD20">
        <v>0</v>
      </c>
      <c r="AE20">
        <v>9424</v>
      </c>
      <c r="AF20">
        <v>0</v>
      </c>
      <c r="AG20">
        <v>0</v>
      </c>
      <c r="AH20">
        <v>0</v>
      </c>
      <c r="AI20">
        <v>15.75</v>
      </c>
      <c r="AJ20">
        <v>1</v>
      </c>
      <c r="AK20">
        <v>1</v>
      </c>
      <c r="AL20">
        <v>1</v>
      </c>
      <c r="AM20">
        <v>2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6.0000000000000001E-3</v>
      </c>
      <c r="AU20" t="s">
        <v>38</v>
      </c>
      <c r="AV20">
        <v>0</v>
      </c>
      <c r="AW20">
        <v>2</v>
      </c>
      <c r="AX20">
        <v>94798900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V20">
        <v>0</v>
      </c>
      <c r="CW20">
        <v>0</v>
      </c>
      <c r="CX20">
        <f>ROUND(Y20*Source!I33,9)</f>
        <v>0</v>
      </c>
      <c r="CY20">
        <f t="shared" si="7"/>
        <v>148428</v>
      </c>
      <c r="CZ20">
        <f t="shared" si="8"/>
        <v>9424</v>
      </c>
      <c r="DA20">
        <f t="shared" si="9"/>
        <v>15.75</v>
      </c>
      <c r="DB20">
        <f t="shared" si="10"/>
        <v>0</v>
      </c>
      <c r="DC20">
        <f t="shared" si="11"/>
        <v>0</v>
      </c>
      <c r="DD20" t="s">
        <v>3</v>
      </c>
      <c r="DE20" t="s">
        <v>3</v>
      </c>
      <c r="DF20">
        <f t="shared" si="12"/>
        <v>0</v>
      </c>
      <c r="DG20">
        <f t="shared" si="13"/>
        <v>0</v>
      </c>
      <c r="DH20">
        <f t="shared" si="14"/>
        <v>0</v>
      </c>
      <c r="DI20">
        <f t="shared" si="1"/>
        <v>0</v>
      </c>
      <c r="DJ20">
        <f t="shared" si="15"/>
        <v>0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ROW(Source!A33)</f>
        <v>33</v>
      </c>
      <c r="B21">
        <v>94798619</v>
      </c>
      <c r="C21">
        <v>94798874</v>
      </c>
      <c r="D21">
        <v>37751329</v>
      </c>
      <c r="E21">
        <v>1</v>
      </c>
      <c r="F21">
        <v>1</v>
      </c>
      <c r="G21">
        <v>1</v>
      </c>
      <c r="H21">
        <v>3</v>
      </c>
      <c r="I21" t="s">
        <v>739</v>
      </c>
      <c r="J21" t="s">
        <v>740</v>
      </c>
      <c r="K21" t="s">
        <v>741</v>
      </c>
      <c r="L21">
        <v>1348</v>
      </c>
      <c r="N21">
        <v>1009</v>
      </c>
      <c r="O21" t="s">
        <v>170</v>
      </c>
      <c r="P21" t="s">
        <v>170</v>
      </c>
      <c r="Q21">
        <v>1000</v>
      </c>
      <c r="W21">
        <v>0</v>
      </c>
      <c r="X21">
        <v>573814964</v>
      </c>
      <c r="Y21">
        <f t="shared" si="6"/>
        <v>0</v>
      </c>
      <c r="AA21">
        <v>119234.15</v>
      </c>
      <c r="AB21">
        <v>0</v>
      </c>
      <c r="AC21">
        <v>0</v>
      </c>
      <c r="AD21">
        <v>0</v>
      </c>
      <c r="AE21">
        <v>10045</v>
      </c>
      <c r="AF21">
        <v>0</v>
      </c>
      <c r="AG21">
        <v>0</v>
      </c>
      <c r="AH21">
        <v>0</v>
      </c>
      <c r="AI21">
        <v>11.87</v>
      </c>
      <c r="AJ21">
        <v>1</v>
      </c>
      <c r="AK21">
        <v>1</v>
      </c>
      <c r="AL21">
        <v>1</v>
      </c>
      <c r="AM21">
        <v>2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2E-3</v>
      </c>
      <c r="AU21" t="s">
        <v>38</v>
      </c>
      <c r="AV21">
        <v>0</v>
      </c>
      <c r="AW21">
        <v>2</v>
      </c>
      <c r="AX21">
        <v>94798901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V21">
        <v>0</v>
      </c>
      <c r="CW21">
        <v>0</v>
      </c>
      <c r="CX21">
        <f>ROUND(Y21*Source!I33,9)</f>
        <v>0</v>
      </c>
      <c r="CY21">
        <f t="shared" si="7"/>
        <v>119234.15</v>
      </c>
      <c r="CZ21">
        <f t="shared" si="8"/>
        <v>10045</v>
      </c>
      <c r="DA21">
        <f t="shared" si="9"/>
        <v>11.87</v>
      </c>
      <c r="DB21">
        <f t="shared" si="10"/>
        <v>0</v>
      </c>
      <c r="DC21">
        <f t="shared" si="11"/>
        <v>0</v>
      </c>
      <c r="DD21" t="s">
        <v>3</v>
      </c>
      <c r="DE21" t="s">
        <v>3</v>
      </c>
      <c r="DF21">
        <f t="shared" si="12"/>
        <v>0</v>
      </c>
      <c r="DG21">
        <f t="shared" si="13"/>
        <v>0</v>
      </c>
      <c r="DH21">
        <f t="shared" si="14"/>
        <v>0</v>
      </c>
      <c r="DI21">
        <f t="shared" si="1"/>
        <v>0</v>
      </c>
      <c r="DJ21">
        <f t="shared" si="15"/>
        <v>0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ROW(Source!A33)</f>
        <v>33</v>
      </c>
      <c r="B22">
        <v>94798619</v>
      </c>
      <c r="C22">
        <v>94798874</v>
      </c>
      <c r="D22">
        <v>37753213</v>
      </c>
      <c r="E22">
        <v>1</v>
      </c>
      <c r="F22">
        <v>1</v>
      </c>
      <c r="G22">
        <v>1</v>
      </c>
      <c r="H22">
        <v>3</v>
      </c>
      <c r="I22" t="s">
        <v>742</v>
      </c>
      <c r="J22" t="s">
        <v>743</v>
      </c>
      <c r="K22" t="s">
        <v>744</v>
      </c>
      <c r="L22">
        <v>1348</v>
      </c>
      <c r="N22">
        <v>1009</v>
      </c>
      <c r="O22" t="s">
        <v>170</v>
      </c>
      <c r="P22" t="s">
        <v>170</v>
      </c>
      <c r="Q22">
        <v>1000</v>
      </c>
      <c r="W22">
        <v>0</v>
      </c>
      <c r="X22">
        <v>-540646545</v>
      </c>
      <c r="Y22">
        <f t="shared" si="6"/>
        <v>0</v>
      </c>
      <c r="AA22">
        <v>70307.210000000006</v>
      </c>
      <c r="AB22">
        <v>0</v>
      </c>
      <c r="AC22">
        <v>0</v>
      </c>
      <c r="AD22">
        <v>0</v>
      </c>
      <c r="AE22">
        <v>6260.66</v>
      </c>
      <c r="AF22">
        <v>0</v>
      </c>
      <c r="AG22">
        <v>0</v>
      </c>
      <c r="AH22">
        <v>0</v>
      </c>
      <c r="AI22">
        <v>11.23</v>
      </c>
      <c r="AJ22">
        <v>1</v>
      </c>
      <c r="AK22">
        <v>1</v>
      </c>
      <c r="AL22">
        <v>1</v>
      </c>
      <c r="AM22">
        <v>2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0.14499999999999999</v>
      </c>
      <c r="AU22" t="s">
        <v>38</v>
      </c>
      <c r="AV22">
        <v>0</v>
      </c>
      <c r="AW22">
        <v>2</v>
      </c>
      <c r="AX22">
        <v>94798902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V22">
        <v>0</v>
      </c>
      <c r="CW22">
        <v>0</v>
      </c>
      <c r="CX22">
        <f>ROUND(Y22*Source!I33,9)</f>
        <v>0</v>
      </c>
      <c r="CY22">
        <f t="shared" si="7"/>
        <v>70307.210000000006</v>
      </c>
      <c r="CZ22">
        <f t="shared" si="8"/>
        <v>6260.66</v>
      </c>
      <c r="DA22">
        <f t="shared" si="9"/>
        <v>11.23</v>
      </c>
      <c r="DB22">
        <f t="shared" si="10"/>
        <v>0</v>
      </c>
      <c r="DC22">
        <f t="shared" si="11"/>
        <v>0</v>
      </c>
      <c r="DD22" t="s">
        <v>3</v>
      </c>
      <c r="DE22" t="s">
        <v>3</v>
      </c>
      <c r="DF22">
        <f t="shared" si="12"/>
        <v>0</v>
      </c>
      <c r="DG22">
        <f t="shared" si="13"/>
        <v>0</v>
      </c>
      <c r="DH22">
        <f t="shared" si="14"/>
        <v>0</v>
      </c>
      <c r="DI22">
        <f t="shared" si="1"/>
        <v>0</v>
      </c>
      <c r="DJ22">
        <f t="shared" si="15"/>
        <v>0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ROW(Source!A33)</f>
        <v>33</v>
      </c>
      <c r="B23">
        <v>94798619</v>
      </c>
      <c r="C23">
        <v>94798874</v>
      </c>
      <c r="D23">
        <v>37767878</v>
      </c>
      <c r="E23">
        <v>1</v>
      </c>
      <c r="F23">
        <v>1</v>
      </c>
      <c r="G23">
        <v>1</v>
      </c>
      <c r="H23">
        <v>3</v>
      </c>
      <c r="I23" t="s">
        <v>745</v>
      </c>
      <c r="J23" t="s">
        <v>746</v>
      </c>
      <c r="K23" t="s">
        <v>747</v>
      </c>
      <c r="L23">
        <v>1339</v>
      </c>
      <c r="N23">
        <v>1007</v>
      </c>
      <c r="O23" t="s">
        <v>52</v>
      </c>
      <c r="P23" t="s">
        <v>52</v>
      </c>
      <c r="Q23">
        <v>1</v>
      </c>
      <c r="W23">
        <v>0</v>
      </c>
      <c r="X23">
        <v>-238842698</v>
      </c>
      <c r="Y23">
        <f t="shared" si="6"/>
        <v>0</v>
      </c>
      <c r="AA23">
        <v>6373.2</v>
      </c>
      <c r="AB23">
        <v>0</v>
      </c>
      <c r="AC23">
        <v>0</v>
      </c>
      <c r="AD23">
        <v>0</v>
      </c>
      <c r="AE23">
        <v>565</v>
      </c>
      <c r="AF23">
        <v>0</v>
      </c>
      <c r="AG23">
        <v>0</v>
      </c>
      <c r="AH23">
        <v>0</v>
      </c>
      <c r="AI23">
        <v>11.28</v>
      </c>
      <c r="AJ23">
        <v>1</v>
      </c>
      <c r="AK23">
        <v>1</v>
      </c>
      <c r="AL23">
        <v>1</v>
      </c>
      <c r="AM23">
        <v>2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1.23</v>
      </c>
      <c r="AU23" t="s">
        <v>38</v>
      </c>
      <c r="AV23">
        <v>0</v>
      </c>
      <c r="AW23">
        <v>2</v>
      </c>
      <c r="AX23">
        <v>94798903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V23">
        <v>0</v>
      </c>
      <c r="CW23">
        <v>0</v>
      </c>
      <c r="CX23">
        <f>ROUND(Y23*Source!I33,9)</f>
        <v>0</v>
      </c>
      <c r="CY23">
        <f t="shared" si="7"/>
        <v>6373.2</v>
      </c>
      <c r="CZ23">
        <f t="shared" si="8"/>
        <v>565</v>
      </c>
      <c r="DA23">
        <f t="shared" si="9"/>
        <v>11.28</v>
      </c>
      <c r="DB23">
        <f t="shared" si="10"/>
        <v>0</v>
      </c>
      <c r="DC23">
        <f t="shared" si="11"/>
        <v>0</v>
      </c>
      <c r="DD23" t="s">
        <v>3</v>
      </c>
      <c r="DE23" t="s">
        <v>3</v>
      </c>
      <c r="DF23">
        <f t="shared" si="12"/>
        <v>0</v>
      </c>
      <c r="DG23">
        <f t="shared" si="13"/>
        <v>0</v>
      </c>
      <c r="DH23">
        <f t="shared" si="14"/>
        <v>0</v>
      </c>
      <c r="DI23">
        <f t="shared" si="1"/>
        <v>0</v>
      </c>
      <c r="DJ23">
        <f t="shared" si="15"/>
        <v>0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ROW(Source!A33)</f>
        <v>33</v>
      </c>
      <c r="B24">
        <v>94798619</v>
      </c>
      <c r="C24">
        <v>94798874</v>
      </c>
      <c r="D24">
        <v>37768002</v>
      </c>
      <c r="E24">
        <v>1</v>
      </c>
      <c r="F24">
        <v>1</v>
      </c>
      <c r="G24">
        <v>1</v>
      </c>
      <c r="H24">
        <v>3</v>
      </c>
      <c r="I24" t="s">
        <v>748</v>
      </c>
      <c r="J24" t="s">
        <v>749</v>
      </c>
      <c r="K24" t="s">
        <v>750</v>
      </c>
      <c r="L24">
        <v>1339</v>
      </c>
      <c r="N24">
        <v>1007</v>
      </c>
      <c r="O24" t="s">
        <v>52</v>
      </c>
      <c r="P24" t="s">
        <v>52</v>
      </c>
      <c r="Q24">
        <v>1</v>
      </c>
      <c r="W24">
        <v>0</v>
      </c>
      <c r="X24">
        <v>1011246000</v>
      </c>
      <c r="Y24">
        <f t="shared" si="6"/>
        <v>0</v>
      </c>
      <c r="AA24">
        <v>4512.3999999999996</v>
      </c>
      <c r="AB24">
        <v>0</v>
      </c>
      <c r="AC24">
        <v>0</v>
      </c>
      <c r="AD24">
        <v>0</v>
      </c>
      <c r="AE24">
        <v>389</v>
      </c>
      <c r="AF24">
        <v>0</v>
      </c>
      <c r="AG24">
        <v>0</v>
      </c>
      <c r="AH24">
        <v>0</v>
      </c>
      <c r="AI24">
        <v>11.6</v>
      </c>
      <c r="AJ24">
        <v>1</v>
      </c>
      <c r="AK24">
        <v>1</v>
      </c>
      <c r="AL24">
        <v>1</v>
      </c>
      <c r="AM24">
        <v>2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7.0000000000000001E-3</v>
      </c>
      <c r="AU24" t="s">
        <v>38</v>
      </c>
      <c r="AV24">
        <v>0</v>
      </c>
      <c r="AW24">
        <v>2</v>
      </c>
      <c r="AX24">
        <v>94798904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V24">
        <v>0</v>
      </c>
      <c r="CW24">
        <v>0</v>
      </c>
      <c r="CX24">
        <f>ROUND(Y24*Source!I33,9)</f>
        <v>0</v>
      </c>
      <c r="CY24">
        <f t="shared" si="7"/>
        <v>4512.3999999999996</v>
      </c>
      <c r="CZ24">
        <f t="shared" si="8"/>
        <v>389</v>
      </c>
      <c r="DA24">
        <f t="shared" si="9"/>
        <v>11.6</v>
      </c>
      <c r="DB24">
        <f t="shared" si="10"/>
        <v>0</v>
      </c>
      <c r="DC24">
        <f t="shared" si="11"/>
        <v>0</v>
      </c>
      <c r="DD24" t="s">
        <v>3</v>
      </c>
      <c r="DE24" t="s">
        <v>3</v>
      </c>
      <c r="DF24">
        <f t="shared" si="12"/>
        <v>0</v>
      </c>
      <c r="DG24">
        <f t="shared" si="13"/>
        <v>0</v>
      </c>
      <c r="DH24">
        <f t="shared" si="14"/>
        <v>0</v>
      </c>
      <c r="DI24">
        <f t="shared" si="1"/>
        <v>0</v>
      </c>
      <c r="DJ24">
        <f t="shared" si="15"/>
        <v>0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ROW(Source!A33)</f>
        <v>33</v>
      </c>
      <c r="B25">
        <v>94798619</v>
      </c>
      <c r="C25">
        <v>94798874</v>
      </c>
      <c r="D25">
        <v>37776002</v>
      </c>
      <c r="E25">
        <v>1</v>
      </c>
      <c r="F25">
        <v>1</v>
      </c>
      <c r="G25">
        <v>1</v>
      </c>
      <c r="H25">
        <v>3</v>
      </c>
      <c r="I25" t="s">
        <v>65</v>
      </c>
      <c r="J25" t="s">
        <v>67</v>
      </c>
      <c r="K25" t="s">
        <v>66</v>
      </c>
      <c r="L25">
        <v>1354</v>
      </c>
      <c r="N25">
        <v>1010</v>
      </c>
      <c r="O25" t="s">
        <v>47</v>
      </c>
      <c r="P25" t="s">
        <v>47</v>
      </c>
      <c r="Q25">
        <v>1</v>
      </c>
      <c r="W25">
        <v>0</v>
      </c>
      <c r="X25">
        <v>821785432</v>
      </c>
      <c r="Y25">
        <f t="shared" si="6"/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M25">
        <v>0</v>
      </c>
      <c r="AN25">
        <v>0</v>
      </c>
      <c r="AO25">
        <v>0</v>
      </c>
      <c r="AP25">
        <v>1</v>
      </c>
      <c r="AQ25">
        <v>0</v>
      </c>
      <c r="AR25">
        <v>0</v>
      </c>
      <c r="AS25" t="s">
        <v>3</v>
      </c>
      <c r="AT25">
        <v>29.5</v>
      </c>
      <c r="AU25" t="s">
        <v>38</v>
      </c>
      <c r="AV25">
        <v>0</v>
      </c>
      <c r="AW25">
        <v>2</v>
      </c>
      <c r="AX25">
        <v>94798905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V25">
        <v>0</v>
      </c>
      <c r="CW25">
        <v>0</v>
      </c>
      <c r="CX25">
        <f>ROUND(Y25*Source!I33,9)</f>
        <v>0</v>
      </c>
      <c r="CY25">
        <f t="shared" si="7"/>
        <v>0</v>
      </c>
      <c r="CZ25">
        <f t="shared" si="8"/>
        <v>0</v>
      </c>
      <c r="DA25">
        <f t="shared" si="9"/>
        <v>1</v>
      </c>
      <c r="DB25">
        <f t="shared" si="10"/>
        <v>0</v>
      </c>
      <c r="DC25">
        <f t="shared" si="11"/>
        <v>0</v>
      </c>
      <c r="DD25" t="s">
        <v>3</v>
      </c>
      <c r="DE25" t="s">
        <v>3</v>
      </c>
      <c r="DF25">
        <f>ROUND(ROUND(AE25,2)*CX25,2)</f>
        <v>0</v>
      </c>
      <c r="DG25">
        <f t="shared" si="13"/>
        <v>0</v>
      </c>
      <c r="DH25">
        <f t="shared" si="14"/>
        <v>0</v>
      </c>
      <c r="DI25">
        <f t="shared" si="1"/>
        <v>0</v>
      </c>
      <c r="DJ25">
        <f t="shared" si="15"/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ROW(Source!A33)</f>
        <v>33</v>
      </c>
      <c r="B26">
        <v>94798619</v>
      </c>
      <c r="C26">
        <v>94798874</v>
      </c>
      <c r="D26">
        <v>37776723</v>
      </c>
      <c r="E26">
        <v>1</v>
      </c>
      <c r="F26">
        <v>1</v>
      </c>
      <c r="G26">
        <v>1</v>
      </c>
      <c r="H26">
        <v>3</v>
      </c>
      <c r="I26" t="s">
        <v>751</v>
      </c>
      <c r="J26" t="s">
        <v>752</v>
      </c>
      <c r="K26" t="s">
        <v>753</v>
      </c>
      <c r="L26">
        <v>1356</v>
      </c>
      <c r="N26">
        <v>1010</v>
      </c>
      <c r="O26" t="s">
        <v>754</v>
      </c>
      <c r="P26" t="s">
        <v>754</v>
      </c>
      <c r="Q26">
        <v>1000</v>
      </c>
      <c r="W26">
        <v>0</v>
      </c>
      <c r="X26">
        <v>-667780082</v>
      </c>
      <c r="Y26">
        <f t="shared" si="6"/>
        <v>0</v>
      </c>
      <c r="AA26">
        <v>15570.34</v>
      </c>
      <c r="AB26">
        <v>0</v>
      </c>
      <c r="AC26">
        <v>0</v>
      </c>
      <c r="AD26">
        <v>0</v>
      </c>
      <c r="AE26">
        <v>794</v>
      </c>
      <c r="AF26">
        <v>0</v>
      </c>
      <c r="AG26">
        <v>0</v>
      </c>
      <c r="AH26">
        <v>0</v>
      </c>
      <c r="AI26">
        <v>19.61</v>
      </c>
      <c r="AJ26">
        <v>1</v>
      </c>
      <c r="AK26">
        <v>1</v>
      </c>
      <c r="AL26">
        <v>1</v>
      </c>
      <c r="AM26">
        <v>2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1.6E-2</v>
      </c>
      <c r="AU26" t="s">
        <v>38</v>
      </c>
      <c r="AV26">
        <v>0</v>
      </c>
      <c r="AW26">
        <v>2</v>
      </c>
      <c r="AX26">
        <v>94798906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V26">
        <v>0</v>
      </c>
      <c r="CW26">
        <v>0</v>
      </c>
      <c r="CX26">
        <f>ROUND(Y26*Source!I33,9)</f>
        <v>0</v>
      </c>
      <c r="CY26">
        <f t="shared" si="7"/>
        <v>15570.34</v>
      </c>
      <c r="CZ26">
        <f t="shared" si="8"/>
        <v>794</v>
      </c>
      <c r="DA26">
        <f t="shared" si="9"/>
        <v>19.61</v>
      </c>
      <c r="DB26">
        <f t="shared" si="10"/>
        <v>0</v>
      </c>
      <c r="DC26">
        <f t="shared" si="11"/>
        <v>0</v>
      </c>
      <c r="DD26" t="s">
        <v>3</v>
      </c>
      <c r="DE26" t="s">
        <v>3</v>
      </c>
      <c r="DF26">
        <f>ROUND(ROUND(AE26*AI26,2)*CX26,2)</f>
        <v>0</v>
      </c>
      <c r="DG26">
        <f t="shared" si="13"/>
        <v>0</v>
      </c>
      <c r="DH26">
        <f t="shared" si="14"/>
        <v>0</v>
      </c>
      <c r="DI26">
        <f t="shared" si="1"/>
        <v>0</v>
      </c>
      <c r="DJ26">
        <f t="shared" si="15"/>
        <v>0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ROW(Source!A35)</f>
        <v>35</v>
      </c>
      <c r="B27">
        <v>94798619</v>
      </c>
      <c r="C27">
        <v>94798909</v>
      </c>
      <c r="D27">
        <v>23132590</v>
      </c>
      <c r="E27">
        <v>1</v>
      </c>
      <c r="F27">
        <v>1</v>
      </c>
      <c r="G27">
        <v>1</v>
      </c>
      <c r="H27">
        <v>1</v>
      </c>
      <c r="I27" t="s">
        <v>755</v>
      </c>
      <c r="J27" t="s">
        <v>3</v>
      </c>
      <c r="K27" t="s">
        <v>756</v>
      </c>
      <c r="L27">
        <v>1369</v>
      </c>
      <c r="N27">
        <v>1013</v>
      </c>
      <c r="O27" t="s">
        <v>696</v>
      </c>
      <c r="P27" t="s">
        <v>696</v>
      </c>
      <c r="Q27">
        <v>1</v>
      </c>
      <c r="W27">
        <v>0</v>
      </c>
      <c r="X27">
        <v>1935273774</v>
      </c>
      <c r="Y27">
        <f t="shared" ref="Y27:Y90" si="16">AT27</f>
        <v>11.63</v>
      </c>
      <c r="AA27">
        <v>0</v>
      </c>
      <c r="AB27">
        <v>0</v>
      </c>
      <c r="AC27">
        <v>0</v>
      </c>
      <c r="AD27">
        <v>7.43</v>
      </c>
      <c r="AE27">
        <v>0</v>
      </c>
      <c r="AF27">
        <v>0</v>
      </c>
      <c r="AG27">
        <v>0</v>
      </c>
      <c r="AH27">
        <v>7.43</v>
      </c>
      <c r="AI27">
        <v>1</v>
      </c>
      <c r="AJ27">
        <v>1</v>
      </c>
      <c r="AK27">
        <v>1</v>
      </c>
      <c r="AL27">
        <v>1</v>
      </c>
      <c r="AM27">
        <v>-2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11.63</v>
      </c>
      <c r="AU27" t="s">
        <v>3</v>
      </c>
      <c r="AV27">
        <v>1</v>
      </c>
      <c r="AW27">
        <v>2</v>
      </c>
      <c r="AX27">
        <v>94798916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U27">
        <f>ROUND(AT27*Source!I35*AH27*AL27,2)</f>
        <v>272.19</v>
      </c>
      <c r="CV27">
        <f>ROUND(Y27*Source!I35,9)</f>
        <v>36.634500000000003</v>
      </c>
      <c r="CW27">
        <v>0</v>
      </c>
      <c r="CX27">
        <f>ROUND(Y27*Source!I35,9)</f>
        <v>36.634500000000003</v>
      </c>
      <c r="CY27">
        <f>AD27</f>
        <v>7.43</v>
      </c>
      <c r="CZ27">
        <f>AH27</f>
        <v>7.43</v>
      </c>
      <c r="DA27">
        <f>AL27</f>
        <v>1</v>
      </c>
      <c r="DB27">
        <f t="shared" ref="DB27:DB90" si="17">ROUND(ROUND(AT27*CZ27,2),2)</f>
        <v>86.41</v>
      </c>
      <c r="DC27">
        <f t="shared" ref="DC27:DC90" si="18">ROUND(ROUND(AT27*AG27,2),2)</f>
        <v>0</v>
      </c>
      <c r="DD27" t="s">
        <v>3</v>
      </c>
      <c r="DE27" t="s">
        <v>3</v>
      </c>
      <c r="DF27">
        <f t="shared" ref="DF27:DF44" si="19">ROUND(ROUND(AE27,2)*CX27,2)</f>
        <v>0</v>
      </c>
      <c r="DG27">
        <f t="shared" si="13"/>
        <v>0</v>
      </c>
      <c r="DH27">
        <f t="shared" si="14"/>
        <v>0</v>
      </c>
      <c r="DI27">
        <f t="shared" si="1"/>
        <v>272.19</v>
      </c>
      <c r="DJ27">
        <f>DI27</f>
        <v>272.19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ROW(Source!A35)</f>
        <v>35</v>
      </c>
      <c r="B28">
        <v>94798619</v>
      </c>
      <c r="C28">
        <v>94798909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28</v>
      </c>
      <c r="J28" t="s">
        <v>3</v>
      </c>
      <c r="K28" t="s">
        <v>705</v>
      </c>
      <c r="L28">
        <v>608254</v>
      </c>
      <c r="N28">
        <v>1013</v>
      </c>
      <c r="O28" t="s">
        <v>706</v>
      </c>
      <c r="P28" t="s">
        <v>706</v>
      </c>
      <c r="Q28">
        <v>1</v>
      </c>
      <c r="W28">
        <v>0</v>
      </c>
      <c r="X28">
        <v>-185737400</v>
      </c>
      <c r="Y28">
        <f t="shared" si="16"/>
        <v>0.14000000000000001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M28">
        <v>-2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0.14000000000000001</v>
      </c>
      <c r="AU28" t="s">
        <v>3</v>
      </c>
      <c r="AV28">
        <v>2</v>
      </c>
      <c r="AW28">
        <v>2</v>
      </c>
      <c r="AX28">
        <v>94798917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V28">
        <v>0</v>
      </c>
      <c r="CW28">
        <v>0</v>
      </c>
      <c r="CX28">
        <f>ROUND(Y28*Source!I35,9)</f>
        <v>0.441</v>
      </c>
      <c r="CY28">
        <f>AD28</f>
        <v>0</v>
      </c>
      <c r="CZ28">
        <f>AH28</f>
        <v>0</v>
      </c>
      <c r="DA28">
        <f>AL28</f>
        <v>1</v>
      </c>
      <c r="DB28">
        <f t="shared" si="17"/>
        <v>0</v>
      </c>
      <c r="DC28">
        <f t="shared" si="18"/>
        <v>0</v>
      </c>
      <c r="DD28" t="s">
        <v>3</v>
      </c>
      <c r="DE28" t="s">
        <v>3</v>
      </c>
      <c r="DF28">
        <f t="shared" si="19"/>
        <v>0</v>
      </c>
      <c r="DG28">
        <f t="shared" si="13"/>
        <v>0</v>
      </c>
      <c r="DH28">
        <f t="shared" si="14"/>
        <v>0</v>
      </c>
      <c r="DI28">
        <f t="shared" si="1"/>
        <v>0</v>
      </c>
      <c r="DJ28">
        <f>DI28</f>
        <v>0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ROW(Source!A35)</f>
        <v>35</v>
      </c>
      <c r="B29">
        <v>94798619</v>
      </c>
      <c r="C29">
        <v>94798909</v>
      </c>
      <c r="D29">
        <v>37802443</v>
      </c>
      <c r="E29">
        <v>1</v>
      </c>
      <c r="F29">
        <v>1</v>
      </c>
      <c r="G29">
        <v>1</v>
      </c>
      <c r="H29">
        <v>2</v>
      </c>
      <c r="I29" t="s">
        <v>721</v>
      </c>
      <c r="J29" t="s">
        <v>722</v>
      </c>
      <c r="K29" t="s">
        <v>723</v>
      </c>
      <c r="L29">
        <v>1368</v>
      </c>
      <c r="N29">
        <v>1011</v>
      </c>
      <c r="O29" t="s">
        <v>700</v>
      </c>
      <c r="P29" t="s">
        <v>700</v>
      </c>
      <c r="Q29">
        <v>1</v>
      </c>
      <c r="W29">
        <v>0</v>
      </c>
      <c r="X29">
        <v>1447433125</v>
      </c>
      <c r="Y29">
        <f t="shared" si="16"/>
        <v>0.02</v>
      </c>
      <c r="AA29">
        <v>0</v>
      </c>
      <c r="AB29">
        <v>1453.68</v>
      </c>
      <c r="AC29">
        <v>426.77</v>
      </c>
      <c r="AD29">
        <v>0</v>
      </c>
      <c r="AE29">
        <v>0</v>
      </c>
      <c r="AF29">
        <v>124.14</v>
      </c>
      <c r="AG29">
        <v>12.1</v>
      </c>
      <c r="AH29">
        <v>0</v>
      </c>
      <c r="AI29">
        <v>1</v>
      </c>
      <c r="AJ29">
        <v>11.71</v>
      </c>
      <c r="AK29">
        <v>35.270000000000003</v>
      </c>
      <c r="AL29">
        <v>1</v>
      </c>
      <c r="AM29">
        <v>2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0.02</v>
      </c>
      <c r="AU29" t="s">
        <v>3</v>
      </c>
      <c r="AV29">
        <v>0</v>
      </c>
      <c r="AW29">
        <v>2</v>
      </c>
      <c r="AX29">
        <v>94798918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V29">
        <v>0</v>
      </c>
      <c r="CW29">
        <f>ROUND(Y29*Source!I35*DO29,9)</f>
        <v>0</v>
      </c>
      <c r="CX29">
        <f>ROUND(Y29*Source!I35,9)</f>
        <v>6.3E-2</v>
      </c>
      <c r="CY29">
        <f>AB29</f>
        <v>1453.68</v>
      </c>
      <c r="CZ29">
        <f>AF29</f>
        <v>124.14</v>
      </c>
      <c r="DA29">
        <f>AJ29</f>
        <v>11.71</v>
      </c>
      <c r="DB29">
        <f t="shared" si="17"/>
        <v>2.48</v>
      </c>
      <c r="DC29">
        <f t="shared" si="18"/>
        <v>0.24</v>
      </c>
      <c r="DD29" t="s">
        <v>3</v>
      </c>
      <c r="DE29" t="s">
        <v>3</v>
      </c>
      <c r="DF29">
        <f t="shared" si="19"/>
        <v>0</v>
      </c>
      <c r="DG29">
        <f>ROUND(ROUND(AF29*AJ29,2)*CX29,2)</f>
        <v>91.58</v>
      </c>
      <c r="DH29">
        <f>ROUND(ROUND(AG29*AK29,2)*CX29,2)</f>
        <v>26.89</v>
      </c>
      <c r="DI29">
        <f t="shared" si="1"/>
        <v>0</v>
      </c>
      <c r="DJ29">
        <f>DG29</f>
        <v>91.58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ROW(Source!A35)</f>
        <v>35</v>
      </c>
      <c r="B30">
        <v>94798619</v>
      </c>
      <c r="C30">
        <v>94798909</v>
      </c>
      <c r="D30">
        <v>37802699</v>
      </c>
      <c r="E30">
        <v>1</v>
      </c>
      <c r="F30">
        <v>1</v>
      </c>
      <c r="G30">
        <v>1</v>
      </c>
      <c r="H30">
        <v>2</v>
      </c>
      <c r="I30" t="s">
        <v>757</v>
      </c>
      <c r="J30" t="s">
        <v>758</v>
      </c>
      <c r="K30" t="s">
        <v>759</v>
      </c>
      <c r="L30">
        <v>1368</v>
      </c>
      <c r="N30">
        <v>1011</v>
      </c>
      <c r="O30" t="s">
        <v>700</v>
      </c>
      <c r="P30" t="s">
        <v>700</v>
      </c>
      <c r="Q30">
        <v>1</v>
      </c>
      <c r="W30">
        <v>0</v>
      </c>
      <c r="X30">
        <v>2133576372</v>
      </c>
      <c r="Y30">
        <f t="shared" si="16"/>
        <v>0.08</v>
      </c>
      <c r="AA30">
        <v>0</v>
      </c>
      <c r="AB30">
        <v>893.67</v>
      </c>
      <c r="AC30">
        <v>317.43</v>
      </c>
      <c r="AD30">
        <v>0</v>
      </c>
      <c r="AE30">
        <v>0</v>
      </c>
      <c r="AF30">
        <v>59.38</v>
      </c>
      <c r="AG30">
        <v>9</v>
      </c>
      <c r="AH30">
        <v>0</v>
      </c>
      <c r="AI30">
        <v>1</v>
      </c>
      <c r="AJ30">
        <v>15.05</v>
      </c>
      <c r="AK30">
        <v>35.270000000000003</v>
      </c>
      <c r="AL30">
        <v>1</v>
      </c>
      <c r="AM30">
        <v>2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0.08</v>
      </c>
      <c r="AU30" t="s">
        <v>3</v>
      </c>
      <c r="AV30">
        <v>0</v>
      </c>
      <c r="AW30">
        <v>2</v>
      </c>
      <c r="AX30">
        <v>94798919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V30">
        <v>0</v>
      </c>
      <c r="CW30">
        <f>ROUND(Y30*Source!I35*DO30,9)</f>
        <v>0</v>
      </c>
      <c r="CX30">
        <f>ROUND(Y30*Source!I35,9)</f>
        <v>0.252</v>
      </c>
      <c r="CY30">
        <f>AB30</f>
        <v>893.67</v>
      </c>
      <c r="CZ30">
        <f>AF30</f>
        <v>59.38</v>
      </c>
      <c r="DA30">
        <f>AJ30</f>
        <v>15.05</v>
      </c>
      <c r="DB30">
        <f t="shared" si="17"/>
        <v>4.75</v>
      </c>
      <c r="DC30">
        <f t="shared" si="18"/>
        <v>0.72</v>
      </c>
      <c r="DD30" t="s">
        <v>3</v>
      </c>
      <c r="DE30" t="s">
        <v>3</v>
      </c>
      <c r="DF30">
        <f t="shared" si="19"/>
        <v>0</v>
      </c>
      <c r="DG30">
        <f>ROUND(ROUND(AF30*AJ30,2)*CX30,2)</f>
        <v>225.2</v>
      </c>
      <c r="DH30">
        <f>ROUND(ROUND(AG30*AK30,2)*CX30,2)</f>
        <v>79.989999999999995</v>
      </c>
      <c r="DI30">
        <f t="shared" si="1"/>
        <v>0</v>
      </c>
      <c r="DJ30">
        <f>DG30</f>
        <v>225.2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ROW(Source!A35)</f>
        <v>35</v>
      </c>
      <c r="B31">
        <v>94798619</v>
      </c>
      <c r="C31">
        <v>94798909</v>
      </c>
      <c r="D31">
        <v>37802738</v>
      </c>
      <c r="E31">
        <v>1</v>
      </c>
      <c r="F31">
        <v>1</v>
      </c>
      <c r="G31">
        <v>1</v>
      </c>
      <c r="H31">
        <v>2</v>
      </c>
      <c r="I31" t="s">
        <v>760</v>
      </c>
      <c r="J31" t="s">
        <v>761</v>
      </c>
      <c r="K31" t="s">
        <v>762</v>
      </c>
      <c r="L31">
        <v>1368</v>
      </c>
      <c r="N31">
        <v>1011</v>
      </c>
      <c r="O31" t="s">
        <v>700</v>
      </c>
      <c r="P31" t="s">
        <v>700</v>
      </c>
      <c r="Q31">
        <v>1</v>
      </c>
      <c r="W31">
        <v>0</v>
      </c>
      <c r="X31">
        <v>-1017142831</v>
      </c>
      <c r="Y31">
        <f t="shared" si="16"/>
        <v>0.02</v>
      </c>
      <c r="AA31">
        <v>0</v>
      </c>
      <c r="AB31">
        <v>1838.46</v>
      </c>
      <c r="AC31">
        <v>426.77</v>
      </c>
      <c r="AD31">
        <v>0</v>
      </c>
      <c r="AE31">
        <v>0</v>
      </c>
      <c r="AF31">
        <v>136.79</v>
      </c>
      <c r="AG31">
        <v>12.1</v>
      </c>
      <c r="AH31">
        <v>0</v>
      </c>
      <c r="AI31">
        <v>1</v>
      </c>
      <c r="AJ31">
        <v>13.44</v>
      </c>
      <c r="AK31">
        <v>35.270000000000003</v>
      </c>
      <c r="AL31">
        <v>1</v>
      </c>
      <c r="AM31">
        <v>2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0.02</v>
      </c>
      <c r="AU31" t="s">
        <v>3</v>
      </c>
      <c r="AV31">
        <v>0</v>
      </c>
      <c r="AW31">
        <v>2</v>
      </c>
      <c r="AX31">
        <v>94798920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V31">
        <v>0</v>
      </c>
      <c r="CW31">
        <f>ROUND(Y31*Source!I35*DO31,9)</f>
        <v>0</v>
      </c>
      <c r="CX31">
        <f>ROUND(Y31*Source!I35,9)</f>
        <v>6.3E-2</v>
      </c>
      <c r="CY31">
        <f>AB31</f>
        <v>1838.46</v>
      </c>
      <c r="CZ31">
        <f>AF31</f>
        <v>136.79</v>
      </c>
      <c r="DA31">
        <f>AJ31</f>
        <v>13.44</v>
      </c>
      <c r="DB31">
        <f t="shared" si="17"/>
        <v>2.74</v>
      </c>
      <c r="DC31">
        <f t="shared" si="18"/>
        <v>0.24</v>
      </c>
      <c r="DD31" t="s">
        <v>3</v>
      </c>
      <c r="DE31" t="s">
        <v>3</v>
      </c>
      <c r="DF31">
        <f t="shared" si="19"/>
        <v>0</v>
      </c>
      <c r="DG31">
        <f>ROUND(ROUND(AF31*AJ31,2)*CX31,2)</f>
        <v>115.82</v>
      </c>
      <c r="DH31">
        <f>ROUND(ROUND(AG31*AK31,2)*CX31,2)</f>
        <v>26.89</v>
      </c>
      <c r="DI31">
        <f t="shared" si="1"/>
        <v>0</v>
      </c>
      <c r="DJ31">
        <f>DG31</f>
        <v>115.82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ROW(Source!A35)</f>
        <v>35</v>
      </c>
      <c r="B32">
        <v>94798619</v>
      </c>
      <c r="C32">
        <v>94798909</v>
      </c>
      <c r="D32">
        <v>37802809</v>
      </c>
      <c r="E32">
        <v>1</v>
      </c>
      <c r="F32">
        <v>1</v>
      </c>
      <c r="G32">
        <v>1</v>
      </c>
      <c r="H32">
        <v>2</v>
      </c>
      <c r="I32" t="s">
        <v>763</v>
      </c>
      <c r="J32" t="s">
        <v>764</v>
      </c>
      <c r="K32" t="s">
        <v>765</v>
      </c>
      <c r="L32">
        <v>1368</v>
      </c>
      <c r="N32">
        <v>1011</v>
      </c>
      <c r="O32" t="s">
        <v>700</v>
      </c>
      <c r="P32" t="s">
        <v>700</v>
      </c>
      <c r="Q32">
        <v>1</v>
      </c>
      <c r="W32">
        <v>0</v>
      </c>
      <c r="X32">
        <v>-521383579</v>
      </c>
      <c r="Y32">
        <f t="shared" si="16"/>
        <v>0.02</v>
      </c>
      <c r="AA32">
        <v>0</v>
      </c>
      <c r="AB32">
        <v>1506.6</v>
      </c>
      <c r="AC32">
        <v>365.04</v>
      </c>
      <c r="AD32">
        <v>0</v>
      </c>
      <c r="AE32">
        <v>0</v>
      </c>
      <c r="AF32">
        <v>102.49</v>
      </c>
      <c r="AG32">
        <v>10.35</v>
      </c>
      <c r="AH32">
        <v>0</v>
      </c>
      <c r="AI32">
        <v>1</v>
      </c>
      <c r="AJ32">
        <v>14.7</v>
      </c>
      <c r="AK32">
        <v>35.270000000000003</v>
      </c>
      <c r="AL32">
        <v>1</v>
      </c>
      <c r="AM32">
        <v>2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0.02</v>
      </c>
      <c r="AU32" t="s">
        <v>3</v>
      </c>
      <c r="AV32">
        <v>0</v>
      </c>
      <c r="AW32">
        <v>2</v>
      </c>
      <c r="AX32">
        <v>94798921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V32">
        <v>0</v>
      </c>
      <c r="CW32">
        <f>ROUND(Y32*Source!I35*DO32,9)</f>
        <v>0</v>
      </c>
      <c r="CX32">
        <f>ROUND(Y32*Source!I35,9)</f>
        <v>6.3E-2</v>
      </c>
      <c r="CY32">
        <f>AB32</f>
        <v>1506.6</v>
      </c>
      <c r="CZ32">
        <f>AF32</f>
        <v>102.49</v>
      </c>
      <c r="DA32">
        <f>AJ32</f>
        <v>14.7</v>
      </c>
      <c r="DB32">
        <f t="shared" si="17"/>
        <v>2.0499999999999998</v>
      </c>
      <c r="DC32">
        <f t="shared" si="18"/>
        <v>0.21</v>
      </c>
      <c r="DD32" t="s">
        <v>3</v>
      </c>
      <c r="DE32" t="s">
        <v>3</v>
      </c>
      <c r="DF32">
        <f t="shared" si="19"/>
        <v>0</v>
      </c>
      <c r="DG32">
        <f>ROUND(ROUND(AF32*AJ32,2)*CX32,2)</f>
        <v>94.92</v>
      </c>
      <c r="DH32">
        <f>ROUND(ROUND(AG32*AK32,2)*CX32,2)</f>
        <v>23</v>
      </c>
      <c r="DI32">
        <f t="shared" si="1"/>
        <v>0</v>
      </c>
      <c r="DJ32">
        <f>DG32</f>
        <v>94.92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ROW(Source!A35)</f>
        <v>35</v>
      </c>
      <c r="B33">
        <v>94798619</v>
      </c>
      <c r="C33">
        <v>94798909</v>
      </c>
      <c r="D33">
        <v>37804095</v>
      </c>
      <c r="E33">
        <v>1</v>
      </c>
      <c r="F33">
        <v>1</v>
      </c>
      <c r="G33">
        <v>1</v>
      </c>
      <c r="H33">
        <v>2</v>
      </c>
      <c r="I33" t="s">
        <v>766</v>
      </c>
      <c r="J33" t="s">
        <v>767</v>
      </c>
      <c r="K33" t="s">
        <v>768</v>
      </c>
      <c r="L33">
        <v>1368</v>
      </c>
      <c r="N33">
        <v>1011</v>
      </c>
      <c r="O33" t="s">
        <v>700</v>
      </c>
      <c r="P33" t="s">
        <v>700</v>
      </c>
      <c r="Q33">
        <v>1</v>
      </c>
      <c r="W33">
        <v>0</v>
      </c>
      <c r="X33">
        <v>1159152410</v>
      </c>
      <c r="Y33">
        <f t="shared" si="16"/>
        <v>0.32</v>
      </c>
      <c r="AA33">
        <v>0</v>
      </c>
      <c r="AB33">
        <v>8.8699999999999992</v>
      </c>
      <c r="AC33">
        <v>0</v>
      </c>
      <c r="AD33">
        <v>0</v>
      </c>
      <c r="AE33">
        <v>0</v>
      </c>
      <c r="AF33">
        <v>1.69</v>
      </c>
      <c r="AG33">
        <v>0</v>
      </c>
      <c r="AH33">
        <v>0</v>
      </c>
      <c r="AI33">
        <v>1</v>
      </c>
      <c r="AJ33">
        <v>5.25</v>
      </c>
      <c r="AK33">
        <v>35.270000000000003</v>
      </c>
      <c r="AL33">
        <v>1</v>
      </c>
      <c r="AM33">
        <v>2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0.32</v>
      </c>
      <c r="AU33" t="s">
        <v>3</v>
      </c>
      <c r="AV33">
        <v>0</v>
      </c>
      <c r="AW33">
        <v>2</v>
      </c>
      <c r="AX33">
        <v>94798922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V33">
        <v>0</v>
      </c>
      <c r="CW33">
        <f>ROUND(Y33*Source!I35*DO33,9)</f>
        <v>0</v>
      </c>
      <c r="CX33">
        <f>ROUND(Y33*Source!I35,9)</f>
        <v>1.008</v>
      </c>
      <c r="CY33">
        <f>AB33</f>
        <v>8.8699999999999992</v>
      </c>
      <c r="CZ33">
        <f>AF33</f>
        <v>1.69</v>
      </c>
      <c r="DA33">
        <f>AJ33</f>
        <v>5.25</v>
      </c>
      <c r="DB33">
        <f t="shared" si="17"/>
        <v>0.54</v>
      </c>
      <c r="DC33">
        <f t="shared" si="18"/>
        <v>0</v>
      </c>
      <c r="DD33" t="s">
        <v>3</v>
      </c>
      <c r="DE33" t="s">
        <v>3</v>
      </c>
      <c r="DF33">
        <f t="shared" si="19"/>
        <v>0</v>
      </c>
      <c r="DG33">
        <f>ROUND(ROUND(AF33*AJ33,2)*CX33,2)</f>
        <v>8.94</v>
      </c>
      <c r="DH33">
        <f>ROUND(ROUND(AG33*AK33,2)*CX33,2)</f>
        <v>0</v>
      </c>
      <c r="DI33">
        <f t="shared" si="1"/>
        <v>0</v>
      </c>
      <c r="DJ33">
        <f>DG33</f>
        <v>8.94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ROW(Source!A36)</f>
        <v>36</v>
      </c>
      <c r="B34">
        <v>94798619</v>
      </c>
      <c r="C34">
        <v>94803468</v>
      </c>
      <c r="D34">
        <v>23129805</v>
      </c>
      <c r="E34">
        <v>1</v>
      </c>
      <c r="F34">
        <v>1</v>
      </c>
      <c r="G34">
        <v>1</v>
      </c>
      <c r="H34">
        <v>1</v>
      </c>
      <c r="I34" t="s">
        <v>703</v>
      </c>
      <c r="J34" t="s">
        <v>3</v>
      </c>
      <c r="K34" t="s">
        <v>704</v>
      </c>
      <c r="L34">
        <v>1369</v>
      </c>
      <c r="N34">
        <v>1013</v>
      </c>
      <c r="O34" t="s">
        <v>696</v>
      </c>
      <c r="P34" t="s">
        <v>696</v>
      </c>
      <c r="Q34">
        <v>1</v>
      </c>
      <c r="W34">
        <v>0</v>
      </c>
      <c r="X34">
        <v>756115135</v>
      </c>
      <c r="Y34">
        <f t="shared" si="16"/>
        <v>15.51</v>
      </c>
      <c r="AA34">
        <v>0</v>
      </c>
      <c r="AB34">
        <v>0</v>
      </c>
      <c r="AC34">
        <v>0</v>
      </c>
      <c r="AD34">
        <v>7.97</v>
      </c>
      <c r="AE34">
        <v>0</v>
      </c>
      <c r="AF34">
        <v>0</v>
      </c>
      <c r="AG34">
        <v>0</v>
      </c>
      <c r="AH34">
        <v>7.97</v>
      </c>
      <c r="AI34">
        <v>1</v>
      </c>
      <c r="AJ34">
        <v>1</v>
      </c>
      <c r="AK34">
        <v>1</v>
      </c>
      <c r="AL34">
        <v>1</v>
      </c>
      <c r="AM34">
        <v>-2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15.51</v>
      </c>
      <c r="AU34" t="s">
        <v>3</v>
      </c>
      <c r="AV34">
        <v>1</v>
      </c>
      <c r="AW34">
        <v>2</v>
      </c>
      <c r="AX34">
        <v>94803469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U34">
        <f>ROUND(AT34*Source!I36*AH34*AL34,2)</f>
        <v>38.94</v>
      </c>
      <c r="CV34">
        <f>ROUND(Y34*Source!I36,9)</f>
        <v>4.88565</v>
      </c>
      <c r="CW34">
        <v>0</v>
      </c>
      <c r="CX34">
        <f>ROUND(Y34*Source!I36,9)</f>
        <v>4.88565</v>
      </c>
      <c r="CY34">
        <f>AD34</f>
        <v>7.97</v>
      </c>
      <c r="CZ34">
        <f>AH34</f>
        <v>7.97</v>
      </c>
      <c r="DA34">
        <f>AL34</f>
        <v>1</v>
      </c>
      <c r="DB34">
        <f t="shared" si="17"/>
        <v>123.61</v>
      </c>
      <c r="DC34">
        <f t="shared" si="18"/>
        <v>0</v>
      </c>
      <c r="DD34" t="s">
        <v>3</v>
      </c>
      <c r="DE34" t="s">
        <v>3</v>
      </c>
      <c r="DF34">
        <f t="shared" si="19"/>
        <v>0</v>
      </c>
      <c r="DG34">
        <f>ROUND(ROUND(AF34,2)*CX34,2)</f>
        <v>0</v>
      </c>
      <c r="DH34">
        <f>ROUND(ROUND(AG34,2)*CX34,2)</f>
        <v>0</v>
      </c>
      <c r="DI34">
        <f t="shared" si="1"/>
        <v>38.94</v>
      </c>
      <c r="DJ34">
        <f>DI34</f>
        <v>38.94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ROW(Source!A36)</f>
        <v>36</v>
      </c>
      <c r="B35">
        <v>94798619</v>
      </c>
      <c r="C35">
        <v>94803468</v>
      </c>
      <c r="D35">
        <v>121548</v>
      </c>
      <c r="E35">
        <v>1</v>
      </c>
      <c r="F35">
        <v>1</v>
      </c>
      <c r="G35">
        <v>1</v>
      </c>
      <c r="H35">
        <v>1</v>
      </c>
      <c r="I35" t="s">
        <v>28</v>
      </c>
      <c r="J35" t="s">
        <v>3</v>
      </c>
      <c r="K35" t="s">
        <v>705</v>
      </c>
      <c r="L35">
        <v>608254</v>
      </c>
      <c r="N35">
        <v>1013</v>
      </c>
      <c r="O35" t="s">
        <v>706</v>
      </c>
      <c r="P35" t="s">
        <v>706</v>
      </c>
      <c r="Q35">
        <v>1</v>
      </c>
      <c r="W35">
        <v>0</v>
      </c>
      <c r="X35">
        <v>-185737400</v>
      </c>
      <c r="Y35">
        <f t="shared" si="16"/>
        <v>10.77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1</v>
      </c>
      <c r="AK35">
        <v>1</v>
      </c>
      <c r="AL35">
        <v>1</v>
      </c>
      <c r="AM35">
        <v>-2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10.77</v>
      </c>
      <c r="AU35" t="s">
        <v>3</v>
      </c>
      <c r="AV35">
        <v>2</v>
      </c>
      <c r="AW35">
        <v>2</v>
      </c>
      <c r="AX35">
        <v>94803470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V35">
        <v>0</v>
      </c>
      <c r="CW35">
        <v>0</v>
      </c>
      <c r="CX35">
        <f>ROUND(Y35*Source!I36,9)</f>
        <v>3.39255</v>
      </c>
      <c r="CY35">
        <f>AD35</f>
        <v>0</v>
      </c>
      <c r="CZ35">
        <f>AH35</f>
        <v>0</v>
      </c>
      <c r="DA35">
        <f>AL35</f>
        <v>1</v>
      </c>
      <c r="DB35">
        <f t="shared" si="17"/>
        <v>0</v>
      </c>
      <c r="DC35">
        <f t="shared" si="18"/>
        <v>0</v>
      </c>
      <c r="DD35" t="s">
        <v>3</v>
      </c>
      <c r="DE35" t="s">
        <v>3</v>
      </c>
      <c r="DF35">
        <f t="shared" si="19"/>
        <v>0</v>
      </c>
      <c r="DG35">
        <f>ROUND(ROUND(AF35,2)*CX35,2)</f>
        <v>0</v>
      </c>
      <c r="DH35">
        <f>ROUND(ROUND(AG35,2)*CX35,2)</f>
        <v>0</v>
      </c>
      <c r="DI35">
        <f t="shared" si="1"/>
        <v>0</v>
      </c>
      <c r="DJ35">
        <f>DI35</f>
        <v>0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ROW(Source!A36)</f>
        <v>36</v>
      </c>
      <c r="B36">
        <v>94798619</v>
      </c>
      <c r="C36">
        <v>94803468</v>
      </c>
      <c r="D36">
        <v>37802443</v>
      </c>
      <c r="E36">
        <v>1</v>
      </c>
      <c r="F36">
        <v>1</v>
      </c>
      <c r="G36">
        <v>1</v>
      </c>
      <c r="H36">
        <v>2</v>
      </c>
      <c r="I36" t="s">
        <v>721</v>
      </c>
      <c r="J36" t="s">
        <v>722</v>
      </c>
      <c r="K36" t="s">
        <v>723</v>
      </c>
      <c r="L36">
        <v>1368</v>
      </c>
      <c r="N36">
        <v>1011</v>
      </c>
      <c r="O36" t="s">
        <v>700</v>
      </c>
      <c r="P36" t="s">
        <v>700</v>
      </c>
      <c r="Q36">
        <v>1</v>
      </c>
      <c r="W36">
        <v>0</v>
      </c>
      <c r="X36">
        <v>1447433125</v>
      </c>
      <c r="Y36">
        <f t="shared" si="16"/>
        <v>1.05</v>
      </c>
      <c r="AA36">
        <v>0</v>
      </c>
      <c r="AB36">
        <v>1453.68</v>
      </c>
      <c r="AC36">
        <v>426.77</v>
      </c>
      <c r="AD36">
        <v>0</v>
      </c>
      <c r="AE36">
        <v>0</v>
      </c>
      <c r="AF36">
        <v>124.14</v>
      </c>
      <c r="AG36">
        <v>12.1</v>
      </c>
      <c r="AH36">
        <v>0</v>
      </c>
      <c r="AI36">
        <v>1</v>
      </c>
      <c r="AJ36">
        <v>11.71</v>
      </c>
      <c r="AK36">
        <v>35.270000000000003</v>
      </c>
      <c r="AL36">
        <v>1</v>
      </c>
      <c r="AM36">
        <v>2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1.05</v>
      </c>
      <c r="AU36" t="s">
        <v>3</v>
      </c>
      <c r="AV36">
        <v>0</v>
      </c>
      <c r="AW36">
        <v>2</v>
      </c>
      <c r="AX36">
        <v>94803471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V36">
        <v>0</v>
      </c>
      <c r="CW36">
        <f>ROUND(Y36*Source!I36*DO36,9)</f>
        <v>0</v>
      </c>
      <c r="CX36">
        <f>ROUND(Y36*Source!I36,9)</f>
        <v>0.33074999999999999</v>
      </c>
      <c r="CY36">
        <f>AB36</f>
        <v>1453.68</v>
      </c>
      <c r="CZ36">
        <f>AF36</f>
        <v>124.14</v>
      </c>
      <c r="DA36">
        <f>AJ36</f>
        <v>11.71</v>
      </c>
      <c r="DB36">
        <f t="shared" si="17"/>
        <v>130.35</v>
      </c>
      <c r="DC36">
        <f t="shared" si="18"/>
        <v>12.71</v>
      </c>
      <c r="DD36" t="s">
        <v>3</v>
      </c>
      <c r="DE36" t="s">
        <v>3</v>
      </c>
      <c r="DF36">
        <f t="shared" si="19"/>
        <v>0</v>
      </c>
      <c r="DG36">
        <f>ROUND(ROUND(AF36*AJ36,2)*CX36,2)</f>
        <v>480.8</v>
      </c>
      <c r="DH36">
        <f>ROUND(ROUND(AG36*AK36,2)*CX36,2)</f>
        <v>141.15</v>
      </c>
      <c r="DI36">
        <f t="shared" si="1"/>
        <v>0</v>
      </c>
      <c r="DJ36">
        <f>DG36</f>
        <v>480.8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ROW(Source!A36)</f>
        <v>36</v>
      </c>
      <c r="B37">
        <v>94798619</v>
      </c>
      <c r="C37">
        <v>94803468</v>
      </c>
      <c r="D37">
        <v>37802741</v>
      </c>
      <c r="E37">
        <v>1</v>
      </c>
      <c r="F37">
        <v>1</v>
      </c>
      <c r="G37">
        <v>1</v>
      </c>
      <c r="H37">
        <v>2</v>
      </c>
      <c r="I37" t="s">
        <v>769</v>
      </c>
      <c r="J37" t="s">
        <v>770</v>
      </c>
      <c r="K37" t="s">
        <v>771</v>
      </c>
      <c r="L37">
        <v>1368</v>
      </c>
      <c r="N37">
        <v>1011</v>
      </c>
      <c r="O37" t="s">
        <v>700</v>
      </c>
      <c r="P37" t="s">
        <v>700</v>
      </c>
      <c r="Q37">
        <v>1</v>
      </c>
      <c r="W37">
        <v>0</v>
      </c>
      <c r="X37">
        <v>-16340783</v>
      </c>
      <c r="Y37">
        <f t="shared" si="16"/>
        <v>4.72</v>
      </c>
      <c r="AA37">
        <v>0</v>
      </c>
      <c r="AB37">
        <v>2438.9499999999998</v>
      </c>
      <c r="AC37">
        <v>853.53</v>
      </c>
      <c r="AD37">
        <v>0</v>
      </c>
      <c r="AE37">
        <v>0</v>
      </c>
      <c r="AF37">
        <v>228.58</v>
      </c>
      <c r="AG37">
        <v>24.2</v>
      </c>
      <c r="AH37">
        <v>0</v>
      </c>
      <c r="AI37">
        <v>1</v>
      </c>
      <c r="AJ37">
        <v>10.67</v>
      </c>
      <c r="AK37">
        <v>35.270000000000003</v>
      </c>
      <c r="AL37">
        <v>1</v>
      </c>
      <c r="AM37">
        <v>2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4.72</v>
      </c>
      <c r="AU37" t="s">
        <v>3</v>
      </c>
      <c r="AV37">
        <v>0</v>
      </c>
      <c r="AW37">
        <v>2</v>
      </c>
      <c r="AX37">
        <v>94803472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V37">
        <v>0</v>
      </c>
      <c r="CW37">
        <f>ROUND(Y37*Source!I36*DO37,9)</f>
        <v>0</v>
      </c>
      <c r="CX37">
        <f>ROUND(Y37*Source!I36,9)</f>
        <v>1.4867999999999999</v>
      </c>
      <c r="CY37">
        <f>AB37</f>
        <v>2438.9499999999998</v>
      </c>
      <c r="CZ37">
        <f>AF37</f>
        <v>228.58</v>
      </c>
      <c r="DA37">
        <f>AJ37</f>
        <v>10.67</v>
      </c>
      <c r="DB37">
        <f t="shared" si="17"/>
        <v>1078.9000000000001</v>
      </c>
      <c r="DC37">
        <f t="shared" si="18"/>
        <v>114.22</v>
      </c>
      <c r="DD37" t="s">
        <v>3</v>
      </c>
      <c r="DE37" t="s">
        <v>3</v>
      </c>
      <c r="DF37">
        <f t="shared" si="19"/>
        <v>0</v>
      </c>
      <c r="DG37">
        <f>ROUND(ROUND(AF37*AJ37,2)*CX37,2)</f>
        <v>3626.23</v>
      </c>
      <c r="DH37">
        <f>ROUND(ROUND(AG37*AK37,2)*CX37,2)</f>
        <v>1269.03</v>
      </c>
      <c r="DI37">
        <f t="shared" si="1"/>
        <v>0</v>
      </c>
      <c r="DJ37">
        <f>DG37</f>
        <v>3626.23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ROW(Source!A36)</f>
        <v>36</v>
      </c>
      <c r="B38">
        <v>94798619</v>
      </c>
      <c r="C38">
        <v>94803468</v>
      </c>
      <c r="D38">
        <v>37802809</v>
      </c>
      <c r="E38">
        <v>1</v>
      </c>
      <c r="F38">
        <v>1</v>
      </c>
      <c r="G38">
        <v>1</v>
      </c>
      <c r="H38">
        <v>2</v>
      </c>
      <c r="I38" t="s">
        <v>763</v>
      </c>
      <c r="J38" t="s">
        <v>764</v>
      </c>
      <c r="K38" t="s">
        <v>765</v>
      </c>
      <c r="L38">
        <v>1368</v>
      </c>
      <c r="N38">
        <v>1011</v>
      </c>
      <c r="O38" t="s">
        <v>700</v>
      </c>
      <c r="P38" t="s">
        <v>700</v>
      </c>
      <c r="Q38">
        <v>1</v>
      </c>
      <c r="W38">
        <v>0</v>
      </c>
      <c r="X38">
        <v>-521383579</v>
      </c>
      <c r="Y38">
        <f t="shared" si="16"/>
        <v>0.28000000000000003</v>
      </c>
      <c r="AA38">
        <v>0</v>
      </c>
      <c r="AB38">
        <v>1506.6</v>
      </c>
      <c r="AC38">
        <v>365.04</v>
      </c>
      <c r="AD38">
        <v>0</v>
      </c>
      <c r="AE38">
        <v>0</v>
      </c>
      <c r="AF38">
        <v>102.49</v>
      </c>
      <c r="AG38">
        <v>10.35</v>
      </c>
      <c r="AH38">
        <v>0</v>
      </c>
      <c r="AI38">
        <v>1</v>
      </c>
      <c r="AJ38">
        <v>14.7</v>
      </c>
      <c r="AK38">
        <v>35.270000000000003</v>
      </c>
      <c r="AL38">
        <v>1</v>
      </c>
      <c r="AM38">
        <v>2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0.28000000000000003</v>
      </c>
      <c r="AU38" t="s">
        <v>3</v>
      </c>
      <c r="AV38">
        <v>0</v>
      </c>
      <c r="AW38">
        <v>2</v>
      </c>
      <c r="AX38">
        <v>94803473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V38">
        <v>0</v>
      </c>
      <c r="CW38">
        <f>ROUND(Y38*Source!I36*DO38,9)</f>
        <v>0</v>
      </c>
      <c r="CX38">
        <f>ROUND(Y38*Source!I36,9)</f>
        <v>8.8200000000000001E-2</v>
      </c>
      <c r="CY38">
        <f>AB38</f>
        <v>1506.6</v>
      </c>
      <c r="CZ38">
        <f>AF38</f>
        <v>102.49</v>
      </c>
      <c r="DA38">
        <f>AJ38</f>
        <v>14.7</v>
      </c>
      <c r="DB38">
        <f t="shared" si="17"/>
        <v>28.7</v>
      </c>
      <c r="DC38">
        <f t="shared" si="18"/>
        <v>2.9</v>
      </c>
      <c r="DD38" t="s">
        <v>3</v>
      </c>
      <c r="DE38" t="s">
        <v>3</v>
      </c>
      <c r="DF38">
        <f t="shared" si="19"/>
        <v>0</v>
      </c>
      <c r="DG38">
        <f>ROUND(ROUND(AF38*AJ38,2)*CX38,2)</f>
        <v>132.88</v>
      </c>
      <c r="DH38">
        <f>ROUND(ROUND(AG38*AK38,2)*CX38,2)</f>
        <v>32.200000000000003</v>
      </c>
      <c r="DI38">
        <f t="shared" si="1"/>
        <v>0</v>
      </c>
      <c r="DJ38">
        <f>DG38</f>
        <v>132.88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ROW(Source!A36)</f>
        <v>36</v>
      </c>
      <c r="B39">
        <v>94798619</v>
      </c>
      <c r="C39">
        <v>94803468</v>
      </c>
      <c r="D39">
        <v>37804456</v>
      </c>
      <c r="E39">
        <v>1</v>
      </c>
      <c r="F39">
        <v>1</v>
      </c>
      <c r="G39">
        <v>1</v>
      </c>
      <c r="H39">
        <v>2</v>
      </c>
      <c r="I39" t="s">
        <v>713</v>
      </c>
      <c r="J39" t="s">
        <v>714</v>
      </c>
      <c r="K39" t="s">
        <v>715</v>
      </c>
      <c r="L39">
        <v>1368</v>
      </c>
      <c r="N39">
        <v>1011</v>
      </c>
      <c r="O39" t="s">
        <v>700</v>
      </c>
      <c r="P39" t="s">
        <v>700</v>
      </c>
      <c r="Q39">
        <v>1</v>
      </c>
      <c r="W39">
        <v>0</v>
      </c>
      <c r="X39">
        <v>-671646184</v>
      </c>
      <c r="Y39">
        <f t="shared" si="16"/>
        <v>1.6</v>
      </c>
      <c r="AA39">
        <v>0</v>
      </c>
      <c r="AB39">
        <v>1305.74</v>
      </c>
      <c r="AC39">
        <v>365.04</v>
      </c>
      <c r="AD39">
        <v>0</v>
      </c>
      <c r="AE39">
        <v>0</v>
      </c>
      <c r="AF39">
        <v>91.76</v>
      </c>
      <c r="AG39">
        <v>10.35</v>
      </c>
      <c r="AH39">
        <v>0</v>
      </c>
      <c r="AI39">
        <v>1</v>
      </c>
      <c r="AJ39">
        <v>14.23</v>
      </c>
      <c r="AK39">
        <v>35.270000000000003</v>
      </c>
      <c r="AL39">
        <v>1</v>
      </c>
      <c r="AM39">
        <v>2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1.6</v>
      </c>
      <c r="AU39" t="s">
        <v>3</v>
      </c>
      <c r="AV39">
        <v>0</v>
      </c>
      <c r="AW39">
        <v>2</v>
      </c>
      <c r="AX39">
        <v>94803474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V39">
        <v>0</v>
      </c>
      <c r="CW39">
        <f>ROUND(Y39*Source!I36*DO39,9)</f>
        <v>0</v>
      </c>
      <c r="CX39">
        <f>ROUND(Y39*Source!I36,9)</f>
        <v>0.504</v>
      </c>
      <c r="CY39">
        <f>AB39</f>
        <v>1305.74</v>
      </c>
      <c r="CZ39">
        <f>AF39</f>
        <v>91.76</v>
      </c>
      <c r="DA39">
        <f>AJ39</f>
        <v>14.23</v>
      </c>
      <c r="DB39">
        <f t="shared" si="17"/>
        <v>146.82</v>
      </c>
      <c r="DC39">
        <f t="shared" si="18"/>
        <v>16.559999999999999</v>
      </c>
      <c r="DD39" t="s">
        <v>3</v>
      </c>
      <c r="DE39" t="s">
        <v>3</v>
      </c>
      <c r="DF39">
        <f t="shared" si="19"/>
        <v>0</v>
      </c>
      <c r="DG39">
        <f>ROUND(ROUND(AF39*AJ39,2)*CX39,2)</f>
        <v>658.09</v>
      </c>
      <c r="DH39">
        <f>ROUND(ROUND(AG39*AK39,2)*CX39,2)</f>
        <v>183.98</v>
      </c>
      <c r="DI39">
        <f t="shared" si="1"/>
        <v>0</v>
      </c>
      <c r="DJ39">
        <f>DG39</f>
        <v>658.09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ROW(Source!A80)</f>
        <v>80</v>
      </c>
      <c r="B40">
        <v>94798619</v>
      </c>
      <c r="C40">
        <v>94799087</v>
      </c>
      <c r="D40">
        <v>23129805</v>
      </c>
      <c r="E40">
        <v>1</v>
      </c>
      <c r="F40">
        <v>1</v>
      </c>
      <c r="G40">
        <v>1</v>
      </c>
      <c r="H40">
        <v>1</v>
      </c>
      <c r="I40" t="s">
        <v>703</v>
      </c>
      <c r="J40" t="s">
        <v>3</v>
      </c>
      <c r="K40" t="s">
        <v>704</v>
      </c>
      <c r="L40">
        <v>1369</v>
      </c>
      <c r="N40">
        <v>1013</v>
      </c>
      <c r="O40" t="s">
        <v>696</v>
      </c>
      <c r="P40" t="s">
        <v>696</v>
      </c>
      <c r="Q40">
        <v>1</v>
      </c>
      <c r="W40">
        <v>0</v>
      </c>
      <c r="X40">
        <v>756115135</v>
      </c>
      <c r="Y40">
        <f t="shared" si="16"/>
        <v>35.64</v>
      </c>
      <c r="AA40">
        <v>0</v>
      </c>
      <c r="AB40">
        <v>0</v>
      </c>
      <c r="AC40">
        <v>0</v>
      </c>
      <c r="AD40">
        <v>7.97</v>
      </c>
      <c r="AE40">
        <v>0</v>
      </c>
      <c r="AF40">
        <v>0</v>
      </c>
      <c r="AG40">
        <v>0</v>
      </c>
      <c r="AH40">
        <v>7.97</v>
      </c>
      <c r="AI40">
        <v>1</v>
      </c>
      <c r="AJ40">
        <v>1</v>
      </c>
      <c r="AK40">
        <v>1</v>
      </c>
      <c r="AL40">
        <v>1</v>
      </c>
      <c r="AM40">
        <v>-2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35.64</v>
      </c>
      <c r="AU40" t="s">
        <v>3</v>
      </c>
      <c r="AV40">
        <v>1</v>
      </c>
      <c r="AW40">
        <v>2</v>
      </c>
      <c r="AX40">
        <v>94799096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U40">
        <f>ROUND(AT40*Source!I80*AH40*AL40,2)</f>
        <v>883.4</v>
      </c>
      <c r="CV40">
        <f>ROUND(Y40*Source!I80,9)</f>
        <v>110.8404</v>
      </c>
      <c r="CW40">
        <v>0</v>
      </c>
      <c r="CX40">
        <f>ROUND(Y40*Source!I80,9)</f>
        <v>110.8404</v>
      </c>
      <c r="CY40">
        <f>AD40</f>
        <v>7.97</v>
      </c>
      <c r="CZ40">
        <f>AH40</f>
        <v>7.97</v>
      </c>
      <c r="DA40">
        <f>AL40</f>
        <v>1</v>
      </c>
      <c r="DB40">
        <f t="shared" si="17"/>
        <v>284.05</v>
      </c>
      <c r="DC40">
        <f t="shared" si="18"/>
        <v>0</v>
      </c>
      <c r="DD40" t="s">
        <v>3</v>
      </c>
      <c r="DE40" t="s">
        <v>3</v>
      </c>
      <c r="DF40">
        <f t="shared" si="19"/>
        <v>0</v>
      </c>
      <c r="DG40">
        <f>ROUND(ROUND(AF40,2)*CX40,2)</f>
        <v>0</v>
      </c>
      <c r="DH40">
        <f>ROUND(ROUND(AG40,2)*CX40,2)</f>
        <v>0</v>
      </c>
      <c r="DI40">
        <f t="shared" si="1"/>
        <v>883.4</v>
      </c>
      <c r="DJ40">
        <f>DI40</f>
        <v>883.4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ROW(Source!A80)</f>
        <v>80</v>
      </c>
      <c r="B41">
        <v>94798619</v>
      </c>
      <c r="C41">
        <v>94799087</v>
      </c>
      <c r="D41">
        <v>121548</v>
      </c>
      <c r="E41">
        <v>1</v>
      </c>
      <c r="F41">
        <v>1</v>
      </c>
      <c r="G41">
        <v>1</v>
      </c>
      <c r="H41">
        <v>1</v>
      </c>
      <c r="I41" t="s">
        <v>28</v>
      </c>
      <c r="J41" t="s">
        <v>3</v>
      </c>
      <c r="K41" t="s">
        <v>705</v>
      </c>
      <c r="L41">
        <v>608254</v>
      </c>
      <c r="N41">
        <v>1013</v>
      </c>
      <c r="O41" t="s">
        <v>706</v>
      </c>
      <c r="P41" t="s">
        <v>706</v>
      </c>
      <c r="Q41">
        <v>1</v>
      </c>
      <c r="W41">
        <v>0</v>
      </c>
      <c r="X41">
        <v>-185737400</v>
      </c>
      <c r="Y41">
        <f t="shared" si="16"/>
        <v>21.67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M41">
        <v>-2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21.67</v>
      </c>
      <c r="AU41" t="s">
        <v>3</v>
      </c>
      <c r="AV41">
        <v>2</v>
      </c>
      <c r="AW41">
        <v>2</v>
      </c>
      <c r="AX41">
        <v>94799097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V41">
        <v>0</v>
      </c>
      <c r="CW41">
        <v>0</v>
      </c>
      <c r="CX41">
        <f>ROUND(Y41*Source!I80,9)</f>
        <v>67.393699999999995</v>
      </c>
      <c r="CY41">
        <f>AD41</f>
        <v>0</v>
      </c>
      <c r="CZ41">
        <f>AH41</f>
        <v>0</v>
      </c>
      <c r="DA41">
        <f>AL41</f>
        <v>1</v>
      </c>
      <c r="DB41">
        <f t="shared" si="17"/>
        <v>0</v>
      </c>
      <c r="DC41">
        <f t="shared" si="18"/>
        <v>0</v>
      </c>
      <c r="DD41" t="s">
        <v>3</v>
      </c>
      <c r="DE41" t="s">
        <v>3</v>
      </c>
      <c r="DF41">
        <f t="shared" si="19"/>
        <v>0</v>
      </c>
      <c r="DG41">
        <f>ROUND(ROUND(AF41,2)*CX41,2)</f>
        <v>0</v>
      </c>
      <c r="DH41">
        <f>ROUND(ROUND(AG41,2)*CX41,2)</f>
        <v>0</v>
      </c>
      <c r="DI41">
        <f t="shared" si="1"/>
        <v>0</v>
      </c>
      <c r="DJ41">
        <f>DI41</f>
        <v>0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ROW(Source!A80)</f>
        <v>80</v>
      </c>
      <c r="B42">
        <v>94798619</v>
      </c>
      <c r="C42">
        <v>94799087</v>
      </c>
      <c r="D42">
        <v>37802953</v>
      </c>
      <c r="E42">
        <v>1</v>
      </c>
      <c r="F42">
        <v>1</v>
      </c>
      <c r="G42">
        <v>1</v>
      </c>
      <c r="H42">
        <v>2</v>
      </c>
      <c r="I42" t="s">
        <v>707</v>
      </c>
      <c r="J42" t="s">
        <v>708</v>
      </c>
      <c r="K42" t="s">
        <v>709</v>
      </c>
      <c r="L42">
        <v>1368</v>
      </c>
      <c r="N42">
        <v>1011</v>
      </c>
      <c r="O42" t="s">
        <v>700</v>
      </c>
      <c r="P42" t="s">
        <v>700</v>
      </c>
      <c r="Q42">
        <v>1</v>
      </c>
      <c r="W42">
        <v>0</v>
      </c>
      <c r="X42">
        <v>-1484005730</v>
      </c>
      <c r="Y42">
        <f t="shared" si="16"/>
        <v>10.74</v>
      </c>
      <c r="AA42">
        <v>0</v>
      </c>
      <c r="AB42">
        <v>1532.79</v>
      </c>
      <c r="AC42">
        <v>426.77</v>
      </c>
      <c r="AD42">
        <v>0</v>
      </c>
      <c r="AE42">
        <v>0</v>
      </c>
      <c r="AF42">
        <v>189</v>
      </c>
      <c r="AG42">
        <v>12.1</v>
      </c>
      <c r="AH42">
        <v>0</v>
      </c>
      <c r="AI42">
        <v>1</v>
      </c>
      <c r="AJ42">
        <v>8.11</v>
      </c>
      <c r="AK42">
        <v>35.270000000000003</v>
      </c>
      <c r="AL42">
        <v>1</v>
      </c>
      <c r="AM42">
        <v>2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10.74</v>
      </c>
      <c r="AU42" t="s">
        <v>3</v>
      </c>
      <c r="AV42">
        <v>0</v>
      </c>
      <c r="AW42">
        <v>2</v>
      </c>
      <c r="AX42">
        <v>94799098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V42">
        <v>0</v>
      </c>
      <c r="CW42">
        <f>ROUND(Y42*Source!I80*DO42,9)</f>
        <v>0</v>
      </c>
      <c r="CX42">
        <f>ROUND(Y42*Source!I80,9)</f>
        <v>33.401400000000002</v>
      </c>
      <c r="CY42">
        <f>AB42</f>
        <v>1532.79</v>
      </c>
      <c r="CZ42">
        <f>AF42</f>
        <v>189</v>
      </c>
      <c r="DA42">
        <f>AJ42</f>
        <v>8.11</v>
      </c>
      <c r="DB42">
        <f t="shared" si="17"/>
        <v>2029.86</v>
      </c>
      <c r="DC42">
        <f t="shared" si="18"/>
        <v>129.94999999999999</v>
      </c>
      <c r="DD42" t="s">
        <v>3</v>
      </c>
      <c r="DE42" t="s">
        <v>3</v>
      </c>
      <c r="DF42">
        <f t="shared" si="19"/>
        <v>0</v>
      </c>
      <c r="DG42">
        <f>ROUND(ROUND(AF42*AJ42,2)*CX42,2)</f>
        <v>51197.33</v>
      </c>
      <c r="DH42">
        <f>ROUND(ROUND(AG42*AK42,2)*CX42,2)</f>
        <v>14254.72</v>
      </c>
      <c r="DI42">
        <f t="shared" si="1"/>
        <v>0</v>
      </c>
      <c r="DJ42">
        <f>DG42</f>
        <v>51197.33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ROW(Source!A80)</f>
        <v>80</v>
      </c>
      <c r="B43">
        <v>94798619</v>
      </c>
      <c r="C43">
        <v>94799087</v>
      </c>
      <c r="D43">
        <v>37803498</v>
      </c>
      <c r="E43">
        <v>1</v>
      </c>
      <c r="F43">
        <v>1</v>
      </c>
      <c r="G43">
        <v>1</v>
      </c>
      <c r="H43">
        <v>2</v>
      </c>
      <c r="I43" t="s">
        <v>710</v>
      </c>
      <c r="J43" t="s">
        <v>711</v>
      </c>
      <c r="K43" t="s">
        <v>712</v>
      </c>
      <c r="L43">
        <v>1368</v>
      </c>
      <c r="N43">
        <v>1011</v>
      </c>
      <c r="O43" t="s">
        <v>700</v>
      </c>
      <c r="P43" t="s">
        <v>700</v>
      </c>
      <c r="Q43">
        <v>1</v>
      </c>
      <c r="W43">
        <v>0</v>
      </c>
      <c r="X43">
        <v>365905357</v>
      </c>
      <c r="Y43">
        <f t="shared" si="16"/>
        <v>10.93</v>
      </c>
      <c r="AA43">
        <v>0</v>
      </c>
      <c r="AB43">
        <v>2147.73</v>
      </c>
      <c r="AC43">
        <v>365.04</v>
      </c>
      <c r="AD43">
        <v>0</v>
      </c>
      <c r="AE43">
        <v>0</v>
      </c>
      <c r="AF43">
        <v>123.86</v>
      </c>
      <c r="AG43">
        <v>10.35</v>
      </c>
      <c r="AH43">
        <v>0</v>
      </c>
      <c r="AI43">
        <v>1</v>
      </c>
      <c r="AJ43">
        <v>17.34</v>
      </c>
      <c r="AK43">
        <v>35.270000000000003</v>
      </c>
      <c r="AL43">
        <v>1</v>
      </c>
      <c r="AM43">
        <v>2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10.93</v>
      </c>
      <c r="AU43" t="s">
        <v>3</v>
      </c>
      <c r="AV43">
        <v>0</v>
      </c>
      <c r="AW43">
        <v>2</v>
      </c>
      <c r="AX43">
        <v>94799099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V43">
        <v>0</v>
      </c>
      <c r="CW43">
        <f>ROUND(Y43*Source!I80*DO43,9)</f>
        <v>0</v>
      </c>
      <c r="CX43">
        <f>ROUND(Y43*Source!I80,9)</f>
        <v>33.9923</v>
      </c>
      <c r="CY43">
        <f>AB43</f>
        <v>2147.73</v>
      </c>
      <c r="CZ43">
        <f>AF43</f>
        <v>123.86</v>
      </c>
      <c r="DA43">
        <f>AJ43</f>
        <v>17.34</v>
      </c>
      <c r="DB43">
        <f t="shared" si="17"/>
        <v>1353.79</v>
      </c>
      <c r="DC43">
        <f t="shared" si="18"/>
        <v>113.13</v>
      </c>
      <c r="DD43" t="s">
        <v>3</v>
      </c>
      <c r="DE43" t="s">
        <v>3</v>
      </c>
      <c r="DF43">
        <f t="shared" si="19"/>
        <v>0</v>
      </c>
      <c r="DG43">
        <f>ROUND(ROUND(AF43*AJ43,2)*CX43,2)</f>
        <v>73006.28</v>
      </c>
      <c r="DH43">
        <f>ROUND(ROUND(AG43*AK43,2)*CX43,2)</f>
        <v>12408.55</v>
      </c>
      <c r="DI43">
        <f t="shared" si="1"/>
        <v>0</v>
      </c>
      <c r="DJ43">
        <f>DG43</f>
        <v>73006.28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ROW(Source!A80)</f>
        <v>80</v>
      </c>
      <c r="B44">
        <v>94798619</v>
      </c>
      <c r="C44">
        <v>94799087</v>
      </c>
      <c r="D44">
        <v>37804456</v>
      </c>
      <c r="E44">
        <v>1</v>
      </c>
      <c r="F44">
        <v>1</v>
      </c>
      <c r="G44">
        <v>1</v>
      </c>
      <c r="H44">
        <v>2</v>
      </c>
      <c r="I44" t="s">
        <v>713</v>
      </c>
      <c r="J44" t="s">
        <v>714</v>
      </c>
      <c r="K44" t="s">
        <v>715</v>
      </c>
      <c r="L44">
        <v>1368</v>
      </c>
      <c r="N44">
        <v>1011</v>
      </c>
      <c r="O44" t="s">
        <v>700</v>
      </c>
      <c r="P44" t="s">
        <v>700</v>
      </c>
      <c r="Q44">
        <v>1</v>
      </c>
      <c r="W44">
        <v>0</v>
      </c>
      <c r="X44">
        <v>-671646184</v>
      </c>
      <c r="Y44">
        <f t="shared" si="16"/>
        <v>0.81</v>
      </c>
      <c r="AA44">
        <v>0</v>
      </c>
      <c r="AB44">
        <v>1305.74</v>
      </c>
      <c r="AC44">
        <v>365.04</v>
      </c>
      <c r="AD44">
        <v>0</v>
      </c>
      <c r="AE44">
        <v>0</v>
      </c>
      <c r="AF44">
        <v>91.76</v>
      </c>
      <c r="AG44">
        <v>10.35</v>
      </c>
      <c r="AH44">
        <v>0</v>
      </c>
      <c r="AI44">
        <v>1</v>
      </c>
      <c r="AJ44">
        <v>14.23</v>
      </c>
      <c r="AK44">
        <v>35.270000000000003</v>
      </c>
      <c r="AL44">
        <v>1</v>
      </c>
      <c r="AM44">
        <v>2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0.81</v>
      </c>
      <c r="AU44" t="s">
        <v>3</v>
      </c>
      <c r="AV44">
        <v>0</v>
      </c>
      <c r="AW44">
        <v>2</v>
      </c>
      <c r="AX44">
        <v>94799100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V44">
        <v>0</v>
      </c>
      <c r="CW44">
        <f>ROUND(Y44*Source!I80*DO44,9)</f>
        <v>0</v>
      </c>
      <c r="CX44">
        <f>ROUND(Y44*Source!I80,9)</f>
        <v>2.5190999999999999</v>
      </c>
      <c r="CY44">
        <f>AB44</f>
        <v>1305.74</v>
      </c>
      <c r="CZ44">
        <f>AF44</f>
        <v>91.76</v>
      </c>
      <c r="DA44">
        <f>AJ44</f>
        <v>14.23</v>
      </c>
      <c r="DB44">
        <f t="shared" si="17"/>
        <v>74.33</v>
      </c>
      <c r="DC44">
        <f t="shared" si="18"/>
        <v>8.3800000000000008</v>
      </c>
      <c r="DD44" t="s">
        <v>3</v>
      </c>
      <c r="DE44" t="s">
        <v>3</v>
      </c>
      <c r="DF44">
        <f t="shared" si="19"/>
        <v>0</v>
      </c>
      <c r="DG44">
        <f>ROUND(ROUND(AF44*AJ44,2)*CX44,2)</f>
        <v>3289.29</v>
      </c>
      <c r="DH44">
        <f>ROUND(ROUND(AG44*AK44,2)*CX44,2)</f>
        <v>919.57</v>
      </c>
      <c r="DI44">
        <f t="shared" si="1"/>
        <v>0</v>
      </c>
      <c r="DJ44">
        <f>DG44</f>
        <v>3289.29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ROW(Source!A80)</f>
        <v>80</v>
      </c>
      <c r="B45">
        <v>94798619</v>
      </c>
      <c r="C45">
        <v>94799087</v>
      </c>
      <c r="D45">
        <v>37751670</v>
      </c>
      <c r="E45">
        <v>1</v>
      </c>
      <c r="F45">
        <v>1</v>
      </c>
      <c r="G45">
        <v>1</v>
      </c>
      <c r="H45">
        <v>3</v>
      </c>
      <c r="I45" t="s">
        <v>716</v>
      </c>
      <c r="J45" t="s">
        <v>717</v>
      </c>
      <c r="K45" t="s">
        <v>718</v>
      </c>
      <c r="L45">
        <v>1301</v>
      </c>
      <c r="N45">
        <v>1003</v>
      </c>
      <c r="O45" t="s">
        <v>368</v>
      </c>
      <c r="P45" t="s">
        <v>368</v>
      </c>
      <c r="Q45">
        <v>1</v>
      </c>
      <c r="W45">
        <v>0</v>
      </c>
      <c r="X45">
        <v>723599891</v>
      </c>
      <c r="Y45">
        <f t="shared" si="16"/>
        <v>55.9</v>
      </c>
      <c r="AA45">
        <v>43.74</v>
      </c>
      <c r="AB45">
        <v>0</v>
      </c>
      <c r="AC45">
        <v>0</v>
      </c>
      <c r="AD45">
        <v>0</v>
      </c>
      <c r="AE45">
        <v>4.2300000000000004</v>
      </c>
      <c r="AF45">
        <v>0</v>
      </c>
      <c r="AG45">
        <v>0</v>
      </c>
      <c r="AH45">
        <v>0</v>
      </c>
      <c r="AI45">
        <v>10.34</v>
      </c>
      <c r="AJ45">
        <v>1</v>
      </c>
      <c r="AK45">
        <v>1</v>
      </c>
      <c r="AL45">
        <v>1</v>
      </c>
      <c r="AM45">
        <v>2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55.9</v>
      </c>
      <c r="AU45" t="s">
        <v>3</v>
      </c>
      <c r="AV45">
        <v>0</v>
      </c>
      <c r="AW45">
        <v>2</v>
      </c>
      <c r="AX45">
        <v>94799101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V45">
        <v>0</v>
      </c>
      <c r="CW45">
        <v>0</v>
      </c>
      <c r="CX45">
        <f>ROUND(Y45*Source!I80,9)</f>
        <v>173.84899999999999</v>
      </c>
      <c r="CY45">
        <f>AA45</f>
        <v>43.74</v>
      </c>
      <c r="CZ45">
        <f>AE45</f>
        <v>4.2300000000000004</v>
      </c>
      <c r="DA45">
        <f>AI45</f>
        <v>10.34</v>
      </c>
      <c r="DB45">
        <f t="shared" si="17"/>
        <v>236.46</v>
      </c>
      <c r="DC45">
        <f t="shared" si="18"/>
        <v>0</v>
      </c>
      <c r="DD45" t="s">
        <v>3</v>
      </c>
      <c r="DE45" t="s">
        <v>3</v>
      </c>
      <c r="DF45">
        <f>ROUND(ROUND(AE45*AI45,2)*CX45,2)</f>
        <v>7604.16</v>
      </c>
      <c r="DG45">
        <f>ROUND(ROUND(AF45,2)*CX45,2)</f>
        <v>0</v>
      </c>
      <c r="DH45">
        <f>ROUND(ROUND(AG45,2)*CX45,2)</f>
        <v>0</v>
      </c>
      <c r="DI45">
        <f t="shared" si="1"/>
        <v>0</v>
      </c>
      <c r="DJ45">
        <f>DF45</f>
        <v>7604.16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ROW(Source!A80)</f>
        <v>80</v>
      </c>
      <c r="B46">
        <v>94798619</v>
      </c>
      <c r="C46">
        <v>94799087</v>
      </c>
      <c r="D46">
        <v>37751161</v>
      </c>
      <c r="E46">
        <v>1</v>
      </c>
      <c r="F46">
        <v>1</v>
      </c>
      <c r="G46">
        <v>1</v>
      </c>
      <c r="H46">
        <v>3</v>
      </c>
      <c r="I46" t="s">
        <v>45</v>
      </c>
      <c r="J46" t="s">
        <v>48</v>
      </c>
      <c r="K46" t="s">
        <v>46</v>
      </c>
      <c r="L46">
        <v>1354</v>
      </c>
      <c r="N46">
        <v>1010</v>
      </c>
      <c r="O46" t="s">
        <v>47</v>
      </c>
      <c r="P46" t="s">
        <v>47</v>
      </c>
      <c r="Q46">
        <v>1</v>
      </c>
      <c r="W46">
        <v>0</v>
      </c>
      <c r="X46">
        <v>-138700279</v>
      </c>
      <c r="Y46">
        <f t="shared" si="16"/>
        <v>100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M46">
        <v>0</v>
      </c>
      <c r="AN46">
        <v>0</v>
      </c>
      <c r="AO46">
        <v>0</v>
      </c>
      <c r="AP46">
        <v>1</v>
      </c>
      <c r="AQ46">
        <v>0</v>
      </c>
      <c r="AR46">
        <v>0</v>
      </c>
      <c r="AS46" t="s">
        <v>3</v>
      </c>
      <c r="AT46">
        <v>100</v>
      </c>
      <c r="AU46" t="s">
        <v>3</v>
      </c>
      <c r="AV46">
        <v>0</v>
      </c>
      <c r="AW46">
        <v>2</v>
      </c>
      <c r="AX46">
        <v>94799102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V46">
        <v>0</v>
      </c>
      <c r="CW46">
        <v>0</v>
      </c>
      <c r="CX46">
        <f>ROUND(Y46*Source!I80,9)</f>
        <v>311</v>
      </c>
      <c r="CY46">
        <f>AA46</f>
        <v>0</v>
      </c>
      <c r="CZ46">
        <f>AE46</f>
        <v>0</v>
      </c>
      <c r="DA46">
        <f>AI46</f>
        <v>1</v>
      </c>
      <c r="DB46">
        <f t="shared" si="17"/>
        <v>0</v>
      </c>
      <c r="DC46">
        <f t="shared" si="18"/>
        <v>0</v>
      </c>
      <c r="DD46" t="s">
        <v>3</v>
      </c>
      <c r="DE46" t="s">
        <v>3</v>
      </c>
      <c r="DF46">
        <f t="shared" ref="DF46:DF54" si="20">ROUND(ROUND(AE46,2)*CX46,2)</f>
        <v>0</v>
      </c>
      <c r="DG46">
        <f>ROUND(ROUND(AF46,2)*CX46,2)</f>
        <v>0</v>
      </c>
      <c r="DH46">
        <f>ROUND(ROUND(AG46,2)*CX46,2)</f>
        <v>0</v>
      </c>
      <c r="DI46">
        <f t="shared" si="1"/>
        <v>0</v>
      </c>
      <c r="DJ46">
        <f>DF46</f>
        <v>0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ROW(Source!A80)</f>
        <v>80</v>
      </c>
      <c r="B47">
        <v>94798619</v>
      </c>
      <c r="C47">
        <v>94799087</v>
      </c>
      <c r="D47">
        <v>37767799</v>
      </c>
      <c r="E47">
        <v>1</v>
      </c>
      <c r="F47">
        <v>1</v>
      </c>
      <c r="G47">
        <v>1</v>
      </c>
      <c r="H47">
        <v>3</v>
      </c>
      <c r="I47" t="s">
        <v>50</v>
      </c>
      <c r="J47" t="s">
        <v>53</v>
      </c>
      <c r="K47" t="s">
        <v>51</v>
      </c>
      <c r="L47">
        <v>1339</v>
      </c>
      <c r="N47">
        <v>1007</v>
      </c>
      <c r="O47" t="s">
        <v>52</v>
      </c>
      <c r="P47" t="s">
        <v>52</v>
      </c>
      <c r="Q47">
        <v>1</v>
      </c>
      <c r="W47">
        <v>0</v>
      </c>
      <c r="X47">
        <v>-255290429</v>
      </c>
      <c r="Y47">
        <f t="shared" si="16"/>
        <v>6.34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M47">
        <v>0</v>
      </c>
      <c r="AN47">
        <v>0</v>
      </c>
      <c r="AO47">
        <v>0</v>
      </c>
      <c r="AP47">
        <v>1</v>
      </c>
      <c r="AQ47">
        <v>0</v>
      </c>
      <c r="AR47">
        <v>0</v>
      </c>
      <c r="AS47" t="s">
        <v>3</v>
      </c>
      <c r="AT47">
        <v>6.34</v>
      </c>
      <c r="AU47" t="s">
        <v>3</v>
      </c>
      <c r="AV47">
        <v>0</v>
      </c>
      <c r="AW47">
        <v>2</v>
      </c>
      <c r="AX47">
        <v>94799103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V47">
        <v>0</v>
      </c>
      <c r="CW47">
        <v>0</v>
      </c>
      <c r="CX47">
        <f>ROUND(Y47*Source!I80,9)</f>
        <v>19.717400000000001</v>
      </c>
      <c r="CY47">
        <f>AA47</f>
        <v>0</v>
      </c>
      <c r="CZ47">
        <f>AE47</f>
        <v>0</v>
      </c>
      <c r="DA47">
        <f>AI47</f>
        <v>1</v>
      </c>
      <c r="DB47">
        <f t="shared" si="17"/>
        <v>0</v>
      </c>
      <c r="DC47">
        <f t="shared" si="18"/>
        <v>0</v>
      </c>
      <c r="DD47" t="s">
        <v>3</v>
      </c>
      <c r="DE47" t="s">
        <v>3</v>
      </c>
      <c r="DF47">
        <f t="shared" si="20"/>
        <v>0</v>
      </c>
      <c r="DG47">
        <f>ROUND(ROUND(AF47,2)*CX47,2)</f>
        <v>0</v>
      </c>
      <c r="DH47">
        <f>ROUND(ROUND(AG47,2)*CX47,2)</f>
        <v>0</v>
      </c>
      <c r="DI47">
        <f t="shared" si="1"/>
        <v>0</v>
      </c>
      <c r="DJ47">
        <f>DF47</f>
        <v>0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ROW(Source!A84)</f>
        <v>84</v>
      </c>
      <c r="B48">
        <v>94798619</v>
      </c>
      <c r="C48">
        <v>94799005</v>
      </c>
      <c r="D48">
        <v>23134955</v>
      </c>
      <c r="E48">
        <v>1</v>
      </c>
      <c r="F48">
        <v>1</v>
      </c>
      <c r="G48">
        <v>1</v>
      </c>
      <c r="H48">
        <v>1</v>
      </c>
      <c r="I48" t="s">
        <v>772</v>
      </c>
      <c r="J48" t="s">
        <v>3</v>
      </c>
      <c r="K48" t="s">
        <v>773</v>
      </c>
      <c r="L48">
        <v>1369</v>
      </c>
      <c r="N48">
        <v>1013</v>
      </c>
      <c r="O48" t="s">
        <v>696</v>
      </c>
      <c r="P48" t="s">
        <v>696</v>
      </c>
      <c r="Q48">
        <v>1</v>
      </c>
      <c r="W48">
        <v>0</v>
      </c>
      <c r="X48">
        <v>-1698459243</v>
      </c>
      <c r="Y48">
        <f t="shared" si="16"/>
        <v>78.25</v>
      </c>
      <c r="AA48">
        <v>0</v>
      </c>
      <c r="AB48">
        <v>0</v>
      </c>
      <c r="AC48">
        <v>0</v>
      </c>
      <c r="AD48">
        <v>8.17</v>
      </c>
      <c r="AE48">
        <v>0</v>
      </c>
      <c r="AF48">
        <v>0</v>
      </c>
      <c r="AG48">
        <v>0</v>
      </c>
      <c r="AH48">
        <v>8.17</v>
      </c>
      <c r="AI48">
        <v>1</v>
      </c>
      <c r="AJ48">
        <v>1</v>
      </c>
      <c r="AK48">
        <v>1</v>
      </c>
      <c r="AL48">
        <v>1</v>
      </c>
      <c r="AM48">
        <v>-2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78.25</v>
      </c>
      <c r="AU48" t="s">
        <v>3</v>
      </c>
      <c r="AV48">
        <v>1</v>
      </c>
      <c r="AW48">
        <v>2</v>
      </c>
      <c r="AX48">
        <v>94799006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U48">
        <f>ROUND(AT48*Source!I84*AH48*AL48,2)</f>
        <v>3986.05</v>
      </c>
      <c r="CV48">
        <f>ROUND(Y48*Source!I84,9)</f>
        <v>487.88875000000002</v>
      </c>
      <c r="CW48">
        <v>0</v>
      </c>
      <c r="CX48">
        <f>ROUND(Y48*Source!I84,9)</f>
        <v>487.88875000000002</v>
      </c>
      <c r="CY48">
        <f>AD48</f>
        <v>8.17</v>
      </c>
      <c r="CZ48">
        <f>AH48</f>
        <v>8.17</v>
      </c>
      <c r="DA48">
        <f>AL48</f>
        <v>1</v>
      </c>
      <c r="DB48">
        <f t="shared" si="17"/>
        <v>639.29999999999995</v>
      </c>
      <c r="DC48">
        <f t="shared" si="18"/>
        <v>0</v>
      </c>
      <c r="DD48" t="s">
        <v>3</v>
      </c>
      <c r="DE48" t="s">
        <v>3</v>
      </c>
      <c r="DF48">
        <f t="shared" si="20"/>
        <v>0</v>
      </c>
      <c r="DG48">
        <f>ROUND(ROUND(AF48,2)*CX48,2)</f>
        <v>0</v>
      </c>
      <c r="DH48">
        <f>ROUND(ROUND(AG48,2)*CX48,2)</f>
        <v>0</v>
      </c>
      <c r="DI48">
        <f t="shared" si="1"/>
        <v>3986.05</v>
      </c>
      <c r="DJ48">
        <f>DI48</f>
        <v>3986.05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ROW(Source!A84)</f>
        <v>84</v>
      </c>
      <c r="B49">
        <v>94798619</v>
      </c>
      <c r="C49">
        <v>94799005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28</v>
      </c>
      <c r="J49" t="s">
        <v>3</v>
      </c>
      <c r="K49" t="s">
        <v>705</v>
      </c>
      <c r="L49">
        <v>608254</v>
      </c>
      <c r="N49">
        <v>1013</v>
      </c>
      <c r="O49" t="s">
        <v>706</v>
      </c>
      <c r="P49" t="s">
        <v>706</v>
      </c>
      <c r="Q49">
        <v>1</v>
      </c>
      <c r="W49">
        <v>0</v>
      </c>
      <c r="X49">
        <v>-185737400</v>
      </c>
      <c r="Y49">
        <f t="shared" si="16"/>
        <v>9.27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M49">
        <v>-2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9.27</v>
      </c>
      <c r="AU49" t="s">
        <v>3</v>
      </c>
      <c r="AV49">
        <v>2</v>
      </c>
      <c r="AW49">
        <v>2</v>
      </c>
      <c r="AX49">
        <v>94799007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V49">
        <v>0</v>
      </c>
      <c r="CW49">
        <v>0</v>
      </c>
      <c r="CX49">
        <f>ROUND(Y49*Source!I84,9)</f>
        <v>57.798450000000003</v>
      </c>
      <c r="CY49">
        <f>AD49</f>
        <v>0</v>
      </c>
      <c r="CZ49">
        <f>AH49</f>
        <v>0</v>
      </c>
      <c r="DA49">
        <f>AL49</f>
        <v>1</v>
      </c>
      <c r="DB49">
        <f t="shared" si="17"/>
        <v>0</v>
      </c>
      <c r="DC49">
        <f t="shared" si="18"/>
        <v>0</v>
      </c>
      <c r="DD49" t="s">
        <v>3</v>
      </c>
      <c r="DE49" t="s">
        <v>3</v>
      </c>
      <c r="DF49">
        <f t="shared" si="20"/>
        <v>0</v>
      </c>
      <c r="DG49">
        <f>ROUND(ROUND(AF49,2)*CX49,2)</f>
        <v>0</v>
      </c>
      <c r="DH49">
        <f>ROUND(ROUND(AG49,2)*CX49,2)</f>
        <v>0</v>
      </c>
      <c r="DI49">
        <f t="shared" si="1"/>
        <v>0</v>
      </c>
      <c r="DJ49">
        <f>DI49</f>
        <v>0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ROW(Source!A84)</f>
        <v>84</v>
      </c>
      <c r="B50">
        <v>94798619</v>
      </c>
      <c r="C50">
        <v>94799005</v>
      </c>
      <c r="D50">
        <v>37802443</v>
      </c>
      <c r="E50">
        <v>1</v>
      </c>
      <c r="F50">
        <v>1</v>
      </c>
      <c r="G50">
        <v>1</v>
      </c>
      <c r="H50">
        <v>2</v>
      </c>
      <c r="I50" t="s">
        <v>721</v>
      </c>
      <c r="J50" t="s">
        <v>722</v>
      </c>
      <c r="K50" t="s">
        <v>723</v>
      </c>
      <c r="L50">
        <v>1368</v>
      </c>
      <c r="N50">
        <v>1011</v>
      </c>
      <c r="O50" t="s">
        <v>700</v>
      </c>
      <c r="P50" t="s">
        <v>700</v>
      </c>
      <c r="Q50">
        <v>1</v>
      </c>
      <c r="W50">
        <v>0</v>
      </c>
      <c r="X50">
        <v>1447433125</v>
      </c>
      <c r="Y50">
        <f t="shared" si="16"/>
        <v>6.32</v>
      </c>
      <c r="AA50">
        <v>0</v>
      </c>
      <c r="AB50">
        <v>1453.68</v>
      </c>
      <c r="AC50">
        <v>426.77</v>
      </c>
      <c r="AD50">
        <v>0</v>
      </c>
      <c r="AE50">
        <v>0</v>
      </c>
      <c r="AF50">
        <v>124.14</v>
      </c>
      <c r="AG50">
        <v>12.1</v>
      </c>
      <c r="AH50">
        <v>0</v>
      </c>
      <c r="AI50">
        <v>1</v>
      </c>
      <c r="AJ50">
        <v>11.71</v>
      </c>
      <c r="AK50">
        <v>35.270000000000003</v>
      </c>
      <c r="AL50">
        <v>1</v>
      </c>
      <c r="AM50">
        <v>2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6.32</v>
      </c>
      <c r="AU50" t="s">
        <v>3</v>
      </c>
      <c r="AV50">
        <v>0</v>
      </c>
      <c r="AW50">
        <v>2</v>
      </c>
      <c r="AX50">
        <v>94799008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V50">
        <v>0</v>
      </c>
      <c r="CW50">
        <f>ROUND(Y50*Source!I84*DO50,9)</f>
        <v>0</v>
      </c>
      <c r="CX50">
        <f>ROUND(Y50*Source!I84,9)</f>
        <v>39.405200000000001</v>
      </c>
      <c r="CY50">
        <f>AB50</f>
        <v>1453.68</v>
      </c>
      <c r="CZ50">
        <f>AF50</f>
        <v>124.14</v>
      </c>
      <c r="DA50">
        <f>AJ50</f>
        <v>11.71</v>
      </c>
      <c r="DB50">
        <f t="shared" si="17"/>
        <v>784.56</v>
      </c>
      <c r="DC50">
        <f t="shared" si="18"/>
        <v>76.47</v>
      </c>
      <c r="DD50" t="s">
        <v>3</v>
      </c>
      <c r="DE50" t="s">
        <v>3</v>
      </c>
      <c r="DF50">
        <f t="shared" si="20"/>
        <v>0</v>
      </c>
      <c r="DG50">
        <f>ROUND(ROUND(AF50*AJ50,2)*CX50,2)</f>
        <v>57282.55</v>
      </c>
      <c r="DH50">
        <f>ROUND(ROUND(AG50*AK50,2)*CX50,2)</f>
        <v>16816.96</v>
      </c>
      <c r="DI50">
        <f t="shared" si="1"/>
        <v>0</v>
      </c>
      <c r="DJ50">
        <f>DG50</f>
        <v>57282.55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ROW(Source!A84)</f>
        <v>84</v>
      </c>
      <c r="B51">
        <v>94798619</v>
      </c>
      <c r="C51">
        <v>94799005</v>
      </c>
      <c r="D51">
        <v>37802515</v>
      </c>
      <c r="E51">
        <v>1</v>
      </c>
      <c r="F51">
        <v>1</v>
      </c>
      <c r="G51">
        <v>1</v>
      </c>
      <c r="H51">
        <v>2</v>
      </c>
      <c r="I51" t="s">
        <v>774</v>
      </c>
      <c r="J51" t="s">
        <v>775</v>
      </c>
      <c r="K51" t="s">
        <v>776</v>
      </c>
      <c r="L51">
        <v>1368</v>
      </c>
      <c r="N51">
        <v>1011</v>
      </c>
      <c r="O51" t="s">
        <v>700</v>
      </c>
      <c r="P51" t="s">
        <v>700</v>
      </c>
      <c r="Q51">
        <v>1</v>
      </c>
      <c r="W51">
        <v>0</v>
      </c>
      <c r="X51">
        <v>-674318163</v>
      </c>
      <c r="Y51">
        <f t="shared" si="16"/>
        <v>0.04</v>
      </c>
      <c r="AA51">
        <v>0</v>
      </c>
      <c r="AB51">
        <v>2230.73</v>
      </c>
      <c r="AC51">
        <v>317.43</v>
      </c>
      <c r="AD51">
        <v>0</v>
      </c>
      <c r="AE51">
        <v>0</v>
      </c>
      <c r="AF51">
        <v>87.24</v>
      </c>
      <c r="AG51">
        <v>9</v>
      </c>
      <c r="AH51">
        <v>0</v>
      </c>
      <c r="AI51">
        <v>1</v>
      </c>
      <c r="AJ51">
        <v>25.57</v>
      </c>
      <c r="AK51">
        <v>35.270000000000003</v>
      </c>
      <c r="AL51">
        <v>1</v>
      </c>
      <c r="AM51">
        <v>2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0.04</v>
      </c>
      <c r="AU51" t="s">
        <v>3</v>
      </c>
      <c r="AV51">
        <v>0</v>
      </c>
      <c r="AW51">
        <v>2</v>
      </c>
      <c r="AX51">
        <v>94799009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V51">
        <v>0</v>
      </c>
      <c r="CW51">
        <f>ROUND(Y51*Source!I84*DO51,9)</f>
        <v>0</v>
      </c>
      <c r="CX51">
        <f>ROUND(Y51*Source!I84,9)</f>
        <v>0.24940000000000001</v>
      </c>
      <c r="CY51">
        <f>AB51</f>
        <v>2230.73</v>
      </c>
      <c r="CZ51">
        <f>AF51</f>
        <v>87.24</v>
      </c>
      <c r="DA51">
        <f>AJ51</f>
        <v>25.57</v>
      </c>
      <c r="DB51">
        <f t="shared" si="17"/>
        <v>3.49</v>
      </c>
      <c r="DC51">
        <f t="shared" si="18"/>
        <v>0.36</v>
      </c>
      <c r="DD51" t="s">
        <v>3</v>
      </c>
      <c r="DE51" t="s">
        <v>3</v>
      </c>
      <c r="DF51">
        <f t="shared" si="20"/>
        <v>0</v>
      </c>
      <c r="DG51">
        <f>ROUND(ROUND(AF51*AJ51,2)*CX51,2)</f>
        <v>556.34</v>
      </c>
      <c r="DH51">
        <f>ROUND(ROUND(AG51*AK51,2)*CX51,2)</f>
        <v>79.17</v>
      </c>
      <c r="DI51">
        <f t="shared" si="1"/>
        <v>0</v>
      </c>
      <c r="DJ51">
        <f>DG51</f>
        <v>556.34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ROW(Source!A84)</f>
        <v>84</v>
      </c>
      <c r="B52">
        <v>94798619</v>
      </c>
      <c r="C52">
        <v>94799005</v>
      </c>
      <c r="D52">
        <v>37802659</v>
      </c>
      <c r="E52">
        <v>1</v>
      </c>
      <c r="F52">
        <v>1</v>
      </c>
      <c r="G52">
        <v>1</v>
      </c>
      <c r="H52">
        <v>2</v>
      </c>
      <c r="I52" t="s">
        <v>777</v>
      </c>
      <c r="J52" t="s">
        <v>778</v>
      </c>
      <c r="K52" t="s">
        <v>779</v>
      </c>
      <c r="L52">
        <v>1368</v>
      </c>
      <c r="N52">
        <v>1011</v>
      </c>
      <c r="O52" t="s">
        <v>700</v>
      </c>
      <c r="P52" t="s">
        <v>700</v>
      </c>
      <c r="Q52">
        <v>1</v>
      </c>
      <c r="W52">
        <v>0</v>
      </c>
      <c r="X52">
        <v>4083802</v>
      </c>
      <c r="Y52">
        <f t="shared" si="16"/>
        <v>1.45</v>
      </c>
      <c r="AA52">
        <v>0</v>
      </c>
      <c r="AB52">
        <v>9.35</v>
      </c>
      <c r="AC52">
        <v>0</v>
      </c>
      <c r="AD52">
        <v>0</v>
      </c>
      <c r="AE52">
        <v>0</v>
      </c>
      <c r="AF52">
        <v>1.43</v>
      </c>
      <c r="AG52">
        <v>0</v>
      </c>
      <c r="AH52">
        <v>0</v>
      </c>
      <c r="AI52">
        <v>1</v>
      </c>
      <c r="AJ52">
        <v>6.54</v>
      </c>
      <c r="AK52">
        <v>35.270000000000003</v>
      </c>
      <c r="AL52">
        <v>1</v>
      </c>
      <c r="AM52">
        <v>2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1.45</v>
      </c>
      <c r="AU52" t="s">
        <v>3</v>
      </c>
      <c r="AV52">
        <v>0</v>
      </c>
      <c r="AW52">
        <v>2</v>
      </c>
      <c r="AX52">
        <v>94799010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V52">
        <v>0</v>
      </c>
      <c r="CW52">
        <f>ROUND(Y52*Source!I84*DO52,9)</f>
        <v>0</v>
      </c>
      <c r="CX52">
        <f>ROUND(Y52*Source!I84,9)</f>
        <v>9.0407499999999992</v>
      </c>
      <c r="CY52">
        <f>AB52</f>
        <v>9.35</v>
      </c>
      <c r="CZ52">
        <f>AF52</f>
        <v>1.43</v>
      </c>
      <c r="DA52">
        <f>AJ52</f>
        <v>6.54</v>
      </c>
      <c r="DB52">
        <f t="shared" si="17"/>
        <v>2.0699999999999998</v>
      </c>
      <c r="DC52">
        <f t="shared" si="18"/>
        <v>0</v>
      </c>
      <c r="DD52" t="s">
        <v>3</v>
      </c>
      <c r="DE52" t="s">
        <v>3</v>
      </c>
      <c r="DF52">
        <f t="shared" si="20"/>
        <v>0</v>
      </c>
      <c r="DG52">
        <f>ROUND(ROUND(AF52*AJ52,2)*CX52,2)</f>
        <v>84.53</v>
      </c>
      <c r="DH52">
        <f>ROUND(ROUND(AG52*AK52,2)*CX52,2)</f>
        <v>0</v>
      </c>
      <c r="DI52">
        <f t="shared" si="1"/>
        <v>0</v>
      </c>
      <c r="DJ52">
        <f>DG52</f>
        <v>84.53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ROW(Source!A84)</f>
        <v>84</v>
      </c>
      <c r="B53">
        <v>94798619</v>
      </c>
      <c r="C53">
        <v>94799005</v>
      </c>
      <c r="D53">
        <v>37803498</v>
      </c>
      <c r="E53">
        <v>1</v>
      </c>
      <c r="F53">
        <v>1</v>
      </c>
      <c r="G53">
        <v>1</v>
      </c>
      <c r="H53">
        <v>2</v>
      </c>
      <c r="I53" t="s">
        <v>710</v>
      </c>
      <c r="J53" t="s">
        <v>711</v>
      </c>
      <c r="K53" t="s">
        <v>712</v>
      </c>
      <c r="L53">
        <v>1368</v>
      </c>
      <c r="N53">
        <v>1011</v>
      </c>
      <c r="O53" t="s">
        <v>700</v>
      </c>
      <c r="P53" t="s">
        <v>700</v>
      </c>
      <c r="Q53">
        <v>1</v>
      </c>
      <c r="W53">
        <v>0</v>
      </c>
      <c r="X53">
        <v>365905357</v>
      </c>
      <c r="Y53">
        <f t="shared" si="16"/>
        <v>2.91</v>
      </c>
      <c r="AA53">
        <v>0</v>
      </c>
      <c r="AB53">
        <v>2147.73</v>
      </c>
      <c r="AC53">
        <v>365.04</v>
      </c>
      <c r="AD53">
        <v>0</v>
      </c>
      <c r="AE53">
        <v>0</v>
      </c>
      <c r="AF53">
        <v>123.86</v>
      </c>
      <c r="AG53">
        <v>10.35</v>
      </c>
      <c r="AH53">
        <v>0</v>
      </c>
      <c r="AI53">
        <v>1</v>
      </c>
      <c r="AJ53">
        <v>17.34</v>
      </c>
      <c r="AK53">
        <v>35.270000000000003</v>
      </c>
      <c r="AL53">
        <v>1</v>
      </c>
      <c r="AM53">
        <v>2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2.91</v>
      </c>
      <c r="AU53" t="s">
        <v>3</v>
      </c>
      <c r="AV53">
        <v>0</v>
      </c>
      <c r="AW53">
        <v>2</v>
      </c>
      <c r="AX53">
        <v>94799011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V53">
        <v>0</v>
      </c>
      <c r="CW53">
        <f>ROUND(Y53*Source!I84*DO53,9)</f>
        <v>0</v>
      </c>
      <c r="CX53">
        <f>ROUND(Y53*Source!I84,9)</f>
        <v>18.14385</v>
      </c>
      <c r="CY53">
        <f>AB53</f>
        <v>2147.73</v>
      </c>
      <c r="CZ53">
        <f>AF53</f>
        <v>123.86</v>
      </c>
      <c r="DA53">
        <f>AJ53</f>
        <v>17.34</v>
      </c>
      <c r="DB53">
        <f t="shared" si="17"/>
        <v>360.43</v>
      </c>
      <c r="DC53">
        <f t="shared" si="18"/>
        <v>30.12</v>
      </c>
      <c r="DD53" t="s">
        <v>3</v>
      </c>
      <c r="DE53" t="s">
        <v>3</v>
      </c>
      <c r="DF53">
        <f t="shared" si="20"/>
        <v>0</v>
      </c>
      <c r="DG53">
        <f>ROUND(ROUND(AF53*AJ53,2)*CX53,2)</f>
        <v>38968.089999999997</v>
      </c>
      <c r="DH53">
        <f>ROUND(ROUND(AG53*AK53,2)*CX53,2)</f>
        <v>6623.23</v>
      </c>
      <c r="DI53">
        <f t="shared" si="1"/>
        <v>0</v>
      </c>
      <c r="DJ53">
        <f>DG53</f>
        <v>38968.089999999997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ROW(Source!A84)</f>
        <v>84</v>
      </c>
      <c r="B54">
        <v>94798619</v>
      </c>
      <c r="C54">
        <v>94799005</v>
      </c>
      <c r="D54">
        <v>37804456</v>
      </c>
      <c r="E54">
        <v>1</v>
      </c>
      <c r="F54">
        <v>1</v>
      </c>
      <c r="G54">
        <v>1</v>
      </c>
      <c r="H54">
        <v>2</v>
      </c>
      <c r="I54" t="s">
        <v>713</v>
      </c>
      <c r="J54" t="s">
        <v>714</v>
      </c>
      <c r="K54" t="s">
        <v>715</v>
      </c>
      <c r="L54">
        <v>1368</v>
      </c>
      <c r="N54">
        <v>1011</v>
      </c>
      <c r="O54" t="s">
        <v>700</v>
      </c>
      <c r="P54" t="s">
        <v>700</v>
      </c>
      <c r="Q54">
        <v>1</v>
      </c>
      <c r="W54">
        <v>0</v>
      </c>
      <c r="X54">
        <v>-671646184</v>
      </c>
      <c r="Y54">
        <f t="shared" si="16"/>
        <v>0.88</v>
      </c>
      <c r="AA54">
        <v>0</v>
      </c>
      <c r="AB54">
        <v>1305.74</v>
      </c>
      <c r="AC54">
        <v>365.04</v>
      </c>
      <c r="AD54">
        <v>0</v>
      </c>
      <c r="AE54">
        <v>0</v>
      </c>
      <c r="AF54">
        <v>91.76</v>
      </c>
      <c r="AG54">
        <v>10.35</v>
      </c>
      <c r="AH54">
        <v>0</v>
      </c>
      <c r="AI54">
        <v>1</v>
      </c>
      <c r="AJ54">
        <v>14.23</v>
      </c>
      <c r="AK54">
        <v>35.270000000000003</v>
      </c>
      <c r="AL54">
        <v>1</v>
      </c>
      <c r="AM54">
        <v>2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0.88</v>
      </c>
      <c r="AU54" t="s">
        <v>3</v>
      </c>
      <c r="AV54">
        <v>0</v>
      </c>
      <c r="AW54">
        <v>2</v>
      </c>
      <c r="AX54">
        <v>94799012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V54">
        <v>0</v>
      </c>
      <c r="CW54">
        <f>ROUND(Y54*Source!I84*DO54,9)</f>
        <v>0</v>
      </c>
      <c r="CX54">
        <f>ROUND(Y54*Source!I84,9)</f>
        <v>5.4867999999999997</v>
      </c>
      <c r="CY54">
        <f>AB54</f>
        <v>1305.74</v>
      </c>
      <c r="CZ54">
        <f>AF54</f>
        <v>91.76</v>
      </c>
      <c r="DA54">
        <f>AJ54</f>
        <v>14.23</v>
      </c>
      <c r="DB54">
        <f t="shared" si="17"/>
        <v>80.75</v>
      </c>
      <c r="DC54">
        <f t="shared" si="18"/>
        <v>9.11</v>
      </c>
      <c r="DD54" t="s">
        <v>3</v>
      </c>
      <c r="DE54" t="s">
        <v>3</v>
      </c>
      <c r="DF54">
        <f t="shared" si="20"/>
        <v>0</v>
      </c>
      <c r="DG54">
        <f>ROUND(ROUND(AF54*AJ54,2)*CX54,2)</f>
        <v>7164.33</v>
      </c>
      <c r="DH54">
        <f>ROUND(ROUND(AG54*AK54,2)*CX54,2)</f>
        <v>2002.9</v>
      </c>
      <c r="DI54">
        <f t="shared" si="1"/>
        <v>0</v>
      </c>
      <c r="DJ54">
        <f>DG54</f>
        <v>7164.33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ROW(Source!A84)</f>
        <v>84</v>
      </c>
      <c r="B55">
        <v>94798619</v>
      </c>
      <c r="C55">
        <v>94799005</v>
      </c>
      <c r="D55">
        <v>37729649</v>
      </c>
      <c r="E55">
        <v>1</v>
      </c>
      <c r="F55">
        <v>1</v>
      </c>
      <c r="G55">
        <v>1</v>
      </c>
      <c r="H55">
        <v>3</v>
      </c>
      <c r="I55" t="s">
        <v>184</v>
      </c>
      <c r="J55" t="s">
        <v>186</v>
      </c>
      <c r="K55" t="s">
        <v>185</v>
      </c>
      <c r="L55">
        <v>1348</v>
      </c>
      <c r="N55">
        <v>1009</v>
      </c>
      <c r="O55" t="s">
        <v>170</v>
      </c>
      <c r="P55" t="s">
        <v>170</v>
      </c>
      <c r="Q55">
        <v>1000</v>
      </c>
      <c r="W55">
        <v>1</v>
      </c>
      <c r="X55">
        <v>1604094993</v>
      </c>
      <c r="Y55">
        <f t="shared" si="16"/>
        <v>-3.8999999999999999E-4</v>
      </c>
      <c r="AA55">
        <v>526593.19999999995</v>
      </c>
      <c r="AB55">
        <v>0</v>
      </c>
      <c r="AC55">
        <v>0</v>
      </c>
      <c r="AD55">
        <v>0</v>
      </c>
      <c r="AE55">
        <v>32830</v>
      </c>
      <c r="AF55">
        <v>0</v>
      </c>
      <c r="AG55">
        <v>0</v>
      </c>
      <c r="AH55">
        <v>0</v>
      </c>
      <c r="AI55">
        <v>16.04</v>
      </c>
      <c r="AJ55">
        <v>1</v>
      </c>
      <c r="AK55">
        <v>1</v>
      </c>
      <c r="AL55">
        <v>1</v>
      </c>
      <c r="AM55">
        <v>2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-3.8999999999999999E-4</v>
      </c>
      <c r="AU55" t="s">
        <v>3</v>
      </c>
      <c r="AV55">
        <v>0</v>
      </c>
      <c r="AW55">
        <v>2</v>
      </c>
      <c r="AX55">
        <v>94799013</v>
      </c>
      <c r="AY55">
        <v>1</v>
      </c>
      <c r="AZ55">
        <v>6144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V55">
        <v>0</v>
      </c>
      <c r="CW55">
        <v>0</v>
      </c>
      <c r="CX55">
        <f>ROUND(Y55*Source!I84,9)</f>
        <v>-2.43165E-3</v>
      </c>
      <c r="CY55">
        <f t="shared" ref="CY55:CY65" si="21">AA55</f>
        <v>526593.19999999995</v>
      </c>
      <c r="CZ55">
        <f t="shared" ref="CZ55:CZ65" si="22">AE55</f>
        <v>32830</v>
      </c>
      <c r="DA55">
        <f t="shared" ref="DA55:DA65" si="23">AI55</f>
        <v>16.04</v>
      </c>
      <c r="DB55">
        <f t="shared" si="17"/>
        <v>-12.8</v>
      </c>
      <c r="DC55">
        <f t="shared" si="18"/>
        <v>0</v>
      </c>
      <c r="DD55" t="s">
        <v>3</v>
      </c>
      <c r="DE55" t="s">
        <v>3</v>
      </c>
      <c r="DF55">
        <f t="shared" ref="DF55:DF63" si="24">ROUND(ROUND(AE55*AI55,2)*CX55,2)</f>
        <v>-1280.49</v>
      </c>
      <c r="DG55">
        <f t="shared" ref="DG55:DG67" si="25">ROUND(ROUND(AF55,2)*CX55,2)</f>
        <v>0</v>
      </c>
      <c r="DH55">
        <f t="shared" ref="DH55:DH67" si="26">ROUND(ROUND(AG55,2)*CX55,2)</f>
        <v>0</v>
      </c>
      <c r="DI55">
        <f t="shared" si="1"/>
        <v>0</v>
      </c>
      <c r="DJ55">
        <f t="shared" ref="DJ55:DJ65" si="27">DF55</f>
        <v>-1280.49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ROW(Source!A84)</f>
        <v>84</v>
      </c>
      <c r="B56">
        <v>94798619</v>
      </c>
      <c r="C56">
        <v>94799005</v>
      </c>
      <c r="D56">
        <v>37729659</v>
      </c>
      <c r="E56">
        <v>1</v>
      </c>
      <c r="F56">
        <v>1</v>
      </c>
      <c r="G56">
        <v>1</v>
      </c>
      <c r="H56">
        <v>3</v>
      </c>
      <c r="I56" t="s">
        <v>187</v>
      </c>
      <c r="J56" t="s">
        <v>189</v>
      </c>
      <c r="K56" t="s">
        <v>188</v>
      </c>
      <c r="L56">
        <v>1339</v>
      </c>
      <c r="N56">
        <v>1007</v>
      </c>
      <c r="O56" t="s">
        <v>52</v>
      </c>
      <c r="P56" t="s">
        <v>52</v>
      </c>
      <c r="Q56">
        <v>1</v>
      </c>
      <c r="W56">
        <v>1</v>
      </c>
      <c r="X56">
        <v>-821751618</v>
      </c>
      <c r="Y56">
        <f t="shared" si="16"/>
        <v>-1.3</v>
      </c>
      <c r="AA56">
        <v>118.62</v>
      </c>
      <c r="AB56">
        <v>0</v>
      </c>
      <c r="AC56">
        <v>0</v>
      </c>
      <c r="AD56">
        <v>0</v>
      </c>
      <c r="AE56">
        <v>6.22</v>
      </c>
      <c r="AF56">
        <v>0</v>
      </c>
      <c r="AG56">
        <v>0</v>
      </c>
      <c r="AH56">
        <v>0</v>
      </c>
      <c r="AI56">
        <v>19.07</v>
      </c>
      <c r="AJ56">
        <v>1</v>
      </c>
      <c r="AK56">
        <v>1</v>
      </c>
      <c r="AL56">
        <v>1</v>
      </c>
      <c r="AM56">
        <v>2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-1.3</v>
      </c>
      <c r="AU56" t="s">
        <v>3</v>
      </c>
      <c r="AV56">
        <v>0</v>
      </c>
      <c r="AW56">
        <v>2</v>
      </c>
      <c r="AX56">
        <v>94799014</v>
      </c>
      <c r="AY56">
        <v>1</v>
      </c>
      <c r="AZ56">
        <v>6144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V56">
        <v>0</v>
      </c>
      <c r="CW56">
        <v>0</v>
      </c>
      <c r="CX56">
        <f>ROUND(Y56*Source!I84,9)</f>
        <v>-8.1054999999999993</v>
      </c>
      <c r="CY56">
        <f t="shared" si="21"/>
        <v>118.62</v>
      </c>
      <c r="CZ56">
        <f t="shared" si="22"/>
        <v>6.22</v>
      </c>
      <c r="DA56">
        <f t="shared" si="23"/>
        <v>19.07</v>
      </c>
      <c r="DB56">
        <f t="shared" si="17"/>
        <v>-8.09</v>
      </c>
      <c r="DC56">
        <f t="shared" si="18"/>
        <v>0</v>
      </c>
      <c r="DD56" t="s">
        <v>3</v>
      </c>
      <c r="DE56" t="s">
        <v>3</v>
      </c>
      <c r="DF56">
        <f t="shared" si="24"/>
        <v>-961.47</v>
      </c>
      <c r="DG56">
        <f t="shared" si="25"/>
        <v>0</v>
      </c>
      <c r="DH56">
        <f t="shared" si="26"/>
        <v>0</v>
      </c>
      <c r="DI56">
        <f t="shared" si="1"/>
        <v>0</v>
      </c>
      <c r="DJ56">
        <f t="shared" si="27"/>
        <v>-961.47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ROW(Source!A84)</f>
        <v>84</v>
      </c>
      <c r="B57">
        <v>94798619</v>
      </c>
      <c r="C57">
        <v>94799005</v>
      </c>
      <c r="D57">
        <v>37732513</v>
      </c>
      <c r="E57">
        <v>1</v>
      </c>
      <c r="F57">
        <v>1</v>
      </c>
      <c r="G57">
        <v>1</v>
      </c>
      <c r="H57">
        <v>3</v>
      </c>
      <c r="I57" t="s">
        <v>168</v>
      </c>
      <c r="J57" t="s">
        <v>171</v>
      </c>
      <c r="K57" t="s">
        <v>169</v>
      </c>
      <c r="L57">
        <v>1348</v>
      </c>
      <c r="N57">
        <v>1009</v>
      </c>
      <c r="O57" t="s">
        <v>170</v>
      </c>
      <c r="P57" t="s">
        <v>170</v>
      </c>
      <c r="Q57">
        <v>1000</v>
      </c>
      <c r="W57">
        <v>1</v>
      </c>
      <c r="X57">
        <v>-1963733011</v>
      </c>
      <c r="Y57">
        <f t="shared" si="16"/>
        <v>-4.1099999999999999E-3</v>
      </c>
      <c r="AA57">
        <v>114090.77</v>
      </c>
      <c r="AB57">
        <v>0</v>
      </c>
      <c r="AC57">
        <v>0</v>
      </c>
      <c r="AD57">
        <v>0</v>
      </c>
      <c r="AE57">
        <v>22503.11</v>
      </c>
      <c r="AF57">
        <v>0</v>
      </c>
      <c r="AG57">
        <v>0</v>
      </c>
      <c r="AH57">
        <v>0</v>
      </c>
      <c r="AI57">
        <v>5.07</v>
      </c>
      <c r="AJ57">
        <v>1</v>
      </c>
      <c r="AK57">
        <v>1</v>
      </c>
      <c r="AL57">
        <v>1</v>
      </c>
      <c r="AM57">
        <v>2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-4.1099999999999999E-3</v>
      </c>
      <c r="AU57" t="s">
        <v>3</v>
      </c>
      <c r="AV57">
        <v>0</v>
      </c>
      <c r="AW57">
        <v>2</v>
      </c>
      <c r="AX57">
        <v>94799015</v>
      </c>
      <c r="AY57">
        <v>1</v>
      </c>
      <c r="AZ57">
        <v>6144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V57">
        <v>0</v>
      </c>
      <c r="CW57">
        <v>0</v>
      </c>
      <c r="CX57">
        <f>ROUND(Y57*Source!I84,9)</f>
        <v>-2.5625849999999999E-2</v>
      </c>
      <c r="CY57">
        <f t="shared" si="21"/>
        <v>114090.77</v>
      </c>
      <c r="CZ57">
        <f t="shared" si="22"/>
        <v>22503.11</v>
      </c>
      <c r="DA57">
        <f t="shared" si="23"/>
        <v>5.07</v>
      </c>
      <c r="DB57">
        <f t="shared" si="17"/>
        <v>-92.49</v>
      </c>
      <c r="DC57">
        <f t="shared" si="18"/>
        <v>0</v>
      </c>
      <c r="DD57" t="s">
        <v>3</v>
      </c>
      <c r="DE57" t="s">
        <v>3</v>
      </c>
      <c r="DF57">
        <f t="shared" si="24"/>
        <v>-2923.67</v>
      </c>
      <c r="DG57">
        <f t="shared" si="25"/>
        <v>0</v>
      </c>
      <c r="DH57">
        <f t="shared" si="26"/>
        <v>0</v>
      </c>
      <c r="DI57">
        <f t="shared" si="1"/>
        <v>0</v>
      </c>
      <c r="DJ57">
        <f t="shared" si="27"/>
        <v>-2923.67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ROW(Source!A84)</f>
        <v>84</v>
      </c>
      <c r="B58">
        <v>94798619</v>
      </c>
      <c r="C58">
        <v>94799005</v>
      </c>
      <c r="D58">
        <v>37732487</v>
      </c>
      <c r="E58">
        <v>1</v>
      </c>
      <c r="F58">
        <v>1</v>
      </c>
      <c r="G58">
        <v>1</v>
      </c>
      <c r="H58">
        <v>3</v>
      </c>
      <c r="I58" t="s">
        <v>172</v>
      </c>
      <c r="J58" t="s">
        <v>174</v>
      </c>
      <c r="K58" t="s">
        <v>173</v>
      </c>
      <c r="L58">
        <v>1348</v>
      </c>
      <c r="N58">
        <v>1009</v>
      </c>
      <c r="O58" t="s">
        <v>170</v>
      </c>
      <c r="P58" t="s">
        <v>170</v>
      </c>
      <c r="Q58">
        <v>1000</v>
      </c>
      <c r="W58">
        <v>1</v>
      </c>
      <c r="X58">
        <v>1936193880</v>
      </c>
      <c r="Y58">
        <f t="shared" si="16"/>
        <v>-7.4700000000000001E-3</v>
      </c>
      <c r="AA58">
        <v>94494.99</v>
      </c>
      <c r="AB58">
        <v>0</v>
      </c>
      <c r="AC58">
        <v>0</v>
      </c>
      <c r="AD58">
        <v>0</v>
      </c>
      <c r="AE58">
        <v>15989</v>
      </c>
      <c r="AF58">
        <v>0</v>
      </c>
      <c r="AG58">
        <v>0</v>
      </c>
      <c r="AH58">
        <v>0</v>
      </c>
      <c r="AI58">
        <v>5.91</v>
      </c>
      <c r="AJ58">
        <v>1</v>
      </c>
      <c r="AK58">
        <v>1</v>
      </c>
      <c r="AL58">
        <v>1</v>
      </c>
      <c r="AM58">
        <v>2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-7.4700000000000001E-3</v>
      </c>
      <c r="AU58" t="s">
        <v>3</v>
      </c>
      <c r="AV58">
        <v>0</v>
      </c>
      <c r="AW58">
        <v>2</v>
      </c>
      <c r="AX58">
        <v>94799016</v>
      </c>
      <c r="AY58">
        <v>1</v>
      </c>
      <c r="AZ58">
        <v>6144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V58">
        <v>0</v>
      </c>
      <c r="CW58">
        <v>0</v>
      </c>
      <c r="CX58">
        <f>ROUND(Y58*Source!I84,9)</f>
        <v>-4.6575449999999997E-2</v>
      </c>
      <c r="CY58">
        <f t="shared" si="21"/>
        <v>94494.99</v>
      </c>
      <c r="CZ58">
        <f t="shared" si="22"/>
        <v>15989</v>
      </c>
      <c r="DA58">
        <f t="shared" si="23"/>
        <v>5.91</v>
      </c>
      <c r="DB58">
        <f t="shared" si="17"/>
        <v>-119.44</v>
      </c>
      <c r="DC58">
        <f t="shared" si="18"/>
        <v>0</v>
      </c>
      <c r="DD58" t="s">
        <v>3</v>
      </c>
      <c r="DE58" t="s">
        <v>3</v>
      </c>
      <c r="DF58">
        <f t="shared" si="24"/>
        <v>-4401.1499999999996</v>
      </c>
      <c r="DG58">
        <f t="shared" si="25"/>
        <v>0</v>
      </c>
      <c r="DH58">
        <f t="shared" si="26"/>
        <v>0</v>
      </c>
      <c r="DI58">
        <f t="shared" si="1"/>
        <v>0</v>
      </c>
      <c r="DJ58">
        <f t="shared" si="27"/>
        <v>-4401.1499999999996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ROW(Source!A84)</f>
        <v>84</v>
      </c>
      <c r="B59">
        <v>94798619</v>
      </c>
      <c r="C59">
        <v>94799005</v>
      </c>
      <c r="D59">
        <v>37732760</v>
      </c>
      <c r="E59">
        <v>1</v>
      </c>
      <c r="F59">
        <v>1</v>
      </c>
      <c r="G59">
        <v>1</v>
      </c>
      <c r="H59">
        <v>3</v>
      </c>
      <c r="I59" t="s">
        <v>175</v>
      </c>
      <c r="J59" t="s">
        <v>177</v>
      </c>
      <c r="K59" t="s">
        <v>176</v>
      </c>
      <c r="L59">
        <v>1348</v>
      </c>
      <c r="N59">
        <v>1009</v>
      </c>
      <c r="O59" t="s">
        <v>170</v>
      </c>
      <c r="P59" t="s">
        <v>170</v>
      </c>
      <c r="Q59">
        <v>1000</v>
      </c>
      <c r="W59">
        <v>1</v>
      </c>
      <c r="X59">
        <v>-159891576</v>
      </c>
      <c r="Y59">
        <f t="shared" si="16"/>
        <v>-2.7400000000000001E-2</v>
      </c>
      <c r="AA59">
        <v>86079.28</v>
      </c>
      <c r="AB59">
        <v>0</v>
      </c>
      <c r="AC59">
        <v>0</v>
      </c>
      <c r="AD59">
        <v>0</v>
      </c>
      <c r="AE59">
        <v>21959</v>
      </c>
      <c r="AF59">
        <v>0</v>
      </c>
      <c r="AG59">
        <v>0</v>
      </c>
      <c r="AH59">
        <v>0</v>
      </c>
      <c r="AI59">
        <v>3.92</v>
      </c>
      <c r="AJ59">
        <v>1</v>
      </c>
      <c r="AK59">
        <v>1</v>
      </c>
      <c r="AL59">
        <v>1</v>
      </c>
      <c r="AM59">
        <v>2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-2.7400000000000001E-2</v>
      </c>
      <c r="AU59" t="s">
        <v>3</v>
      </c>
      <c r="AV59">
        <v>0</v>
      </c>
      <c r="AW59">
        <v>2</v>
      </c>
      <c r="AX59">
        <v>94799017</v>
      </c>
      <c r="AY59">
        <v>1</v>
      </c>
      <c r="AZ59">
        <v>6144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V59">
        <v>0</v>
      </c>
      <c r="CW59">
        <v>0</v>
      </c>
      <c r="CX59">
        <f>ROUND(Y59*Source!I84,9)</f>
        <v>-0.17083899999999999</v>
      </c>
      <c r="CY59">
        <f t="shared" si="21"/>
        <v>86079.28</v>
      </c>
      <c r="CZ59">
        <f t="shared" si="22"/>
        <v>21959</v>
      </c>
      <c r="DA59">
        <f t="shared" si="23"/>
        <v>3.92</v>
      </c>
      <c r="DB59">
        <f t="shared" si="17"/>
        <v>-601.67999999999995</v>
      </c>
      <c r="DC59">
        <f t="shared" si="18"/>
        <v>0</v>
      </c>
      <c r="DD59" t="s">
        <v>3</v>
      </c>
      <c r="DE59" t="s">
        <v>3</v>
      </c>
      <c r="DF59">
        <f t="shared" si="24"/>
        <v>-14705.7</v>
      </c>
      <c r="DG59">
        <f t="shared" si="25"/>
        <v>0</v>
      </c>
      <c r="DH59">
        <f t="shared" si="26"/>
        <v>0</v>
      </c>
      <c r="DI59">
        <f t="shared" si="1"/>
        <v>0</v>
      </c>
      <c r="DJ59">
        <f t="shared" si="27"/>
        <v>-14705.7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ROW(Source!A84)</f>
        <v>84</v>
      </c>
      <c r="B60">
        <v>94798619</v>
      </c>
      <c r="C60">
        <v>94799005</v>
      </c>
      <c r="D60">
        <v>37736297</v>
      </c>
      <c r="E60">
        <v>1</v>
      </c>
      <c r="F60">
        <v>1</v>
      </c>
      <c r="G60">
        <v>1</v>
      </c>
      <c r="H60">
        <v>3</v>
      </c>
      <c r="I60" t="s">
        <v>780</v>
      </c>
      <c r="J60" t="s">
        <v>781</v>
      </c>
      <c r="K60" t="s">
        <v>782</v>
      </c>
      <c r="L60">
        <v>1348</v>
      </c>
      <c r="N60">
        <v>1009</v>
      </c>
      <c r="O60" t="s">
        <v>170</v>
      </c>
      <c r="P60" t="s">
        <v>170</v>
      </c>
      <c r="Q60">
        <v>1000</v>
      </c>
      <c r="W60">
        <v>0</v>
      </c>
      <c r="X60">
        <v>-1106030677</v>
      </c>
      <c r="Y60">
        <f t="shared" si="16"/>
        <v>1.1299999999999999E-2</v>
      </c>
      <c r="AA60">
        <v>90235.08</v>
      </c>
      <c r="AB60">
        <v>0</v>
      </c>
      <c r="AC60">
        <v>0</v>
      </c>
      <c r="AD60">
        <v>0</v>
      </c>
      <c r="AE60">
        <v>12854</v>
      </c>
      <c r="AF60">
        <v>0</v>
      </c>
      <c r="AG60">
        <v>0</v>
      </c>
      <c r="AH60">
        <v>0</v>
      </c>
      <c r="AI60">
        <v>7.02</v>
      </c>
      <c r="AJ60">
        <v>1</v>
      </c>
      <c r="AK60">
        <v>1</v>
      </c>
      <c r="AL60">
        <v>1</v>
      </c>
      <c r="AM60">
        <v>2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1.1299999999999999E-2</v>
      </c>
      <c r="AU60" t="s">
        <v>3</v>
      </c>
      <c r="AV60">
        <v>0</v>
      </c>
      <c r="AW60">
        <v>2</v>
      </c>
      <c r="AX60">
        <v>94799018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V60">
        <v>0</v>
      </c>
      <c r="CW60">
        <v>0</v>
      </c>
      <c r="CX60">
        <f>ROUND(Y60*Source!I84,9)</f>
        <v>7.0455500000000004E-2</v>
      </c>
      <c r="CY60">
        <f t="shared" si="21"/>
        <v>90235.08</v>
      </c>
      <c r="CZ60">
        <f t="shared" si="22"/>
        <v>12854</v>
      </c>
      <c r="DA60">
        <f t="shared" si="23"/>
        <v>7.02</v>
      </c>
      <c r="DB60">
        <f t="shared" si="17"/>
        <v>145.25</v>
      </c>
      <c r="DC60">
        <f t="shared" si="18"/>
        <v>0</v>
      </c>
      <c r="DD60" t="s">
        <v>3</v>
      </c>
      <c r="DE60" t="s">
        <v>3</v>
      </c>
      <c r="DF60">
        <f t="shared" si="24"/>
        <v>6357.56</v>
      </c>
      <c r="DG60">
        <f t="shared" si="25"/>
        <v>0</v>
      </c>
      <c r="DH60">
        <f t="shared" si="26"/>
        <v>0</v>
      </c>
      <c r="DI60">
        <f t="shared" si="1"/>
        <v>0</v>
      </c>
      <c r="DJ60">
        <f t="shared" si="27"/>
        <v>6357.56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ROW(Source!A84)</f>
        <v>84</v>
      </c>
      <c r="B61">
        <v>94798619</v>
      </c>
      <c r="C61">
        <v>94799005</v>
      </c>
      <c r="D61">
        <v>37735442</v>
      </c>
      <c r="E61">
        <v>1</v>
      </c>
      <c r="F61">
        <v>1</v>
      </c>
      <c r="G61">
        <v>1</v>
      </c>
      <c r="H61">
        <v>3</v>
      </c>
      <c r="I61" t="s">
        <v>783</v>
      </c>
      <c r="J61" t="s">
        <v>784</v>
      </c>
      <c r="K61" t="s">
        <v>785</v>
      </c>
      <c r="L61">
        <v>1327</v>
      </c>
      <c r="N61">
        <v>1005</v>
      </c>
      <c r="O61" t="s">
        <v>201</v>
      </c>
      <c r="P61" t="s">
        <v>201</v>
      </c>
      <c r="Q61">
        <v>1</v>
      </c>
      <c r="W61">
        <v>0</v>
      </c>
      <c r="X61">
        <v>-509781028</v>
      </c>
      <c r="Y61">
        <f t="shared" si="16"/>
        <v>152</v>
      </c>
      <c r="AA61">
        <v>89.28</v>
      </c>
      <c r="AB61">
        <v>0</v>
      </c>
      <c r="AC61">
        <v>0</v>
      </c>
      <c r="AD61">
        <v>0</v>
      </c>
      <c r="AE61">
        <v>14.83</v>
      </c>
      <c r="AF61">
        <v>0</v>
      </c>
      <c r="AG61">
        <v>0</v>
      </c>
      <c r="AH61">
        <v>0</v>
      </c>
      <c r="AI61">
        <v>6.02</v>
      </c>
      <c r="AJ61">
        <v>1</v>
      </c>
      <c r="AK61">
        <v>1</v>
      </c>
      <c r="AL61">
        <v>1</v>
      </c>
      <c r="AM61">
        <v>2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152</v>
      </c>
      <c r="AU61" t="s">
        <v>3</v>
      </c>
      <c r="AV61">
        <v>0</v>
      </c>
      <c r="AW61">
        <v>2</v>
      </c>
      <c r="AX61">
        <v>94799019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V61">
        <v>0</v>
      </c>
      <c r="CW61">
        <v>0</v>
      </c>
      <c r="CX61">
        <f>ROUND(Y61*Source!I84,9)</f>
        <v>947.72</v>
      </c>
      <c r="CY61">
        <f t="shared" si="21"/>
        <v>89.28</v>
      </c>
      <c r="CZ61">
        <f t="shared" si="22"/>
        <v>14.83</v>
      </c>
      <c r="DA61">
        <f t="shared" si="23"/>
        <v>6.02</v>
      </c>
      <c r="DB61">
        <f t="shared" si="17"/>
        <v>2254.16</v>
      </c>
      <c r="DC61">
        <f t="shared" si="18"/>
        <v>0</v>
      </c>
      <c r="DD61" t="s">
        <v>3</v>
      </c>
      <c r="DE61" t="s">
        <v>3</v>
      </c>
      <c r="DF61">
        <f t="shared" si="24"/>
        <v>84612.44</v>
      </c>
      <c r="DG61">
        <f t="shared" si="25"/>
        <v>0</v>
      </c>
      <c r="DH61">
        <f t="shared" si="26"/>
        <v>0</v>
      </c>
      <c r="DI61">
        <f t="shared" si="1"/>
        <v>0</v>
      </c>
      <c r="DJ61">
        <f t="shared" si="27"/>
        <v>84612.44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ROW(Source!A84)</f>
        <v>84</v>
      </c>
      <c r="B62">
        <v>94798619</v>
      </c>
      <c r="C62">
        <v>94799005</v>
      </c>
      <c r="D62">
        <v>37732769</v>
      </c>
      <c r="E62">
        <v>1</v>
      </c>
      <c r="F62">
        <v>1</v>
      </c>
      <c r="G62">
        <v>1</v>
      </c>
      <c r="H62">
        <v>3</v>
      </c>
      <c r="I62" t="s">
        <v>190</v>
      </c>
      <c r="J62" t="s">
        <v>193</v>
      </c>
      <c r="K62" t="s">
        <v>191</v>
      </c>
      <c r="L62">
        <v>1346</v>
      </c>
      <c r="N62">
        <v>1009</v>
      </c>
      <c r="O62" t="s">
        <v>192</v>
      </c>
      <c r="P62" t="s">
        <v>192</v>
      </c>
      <c r="Q62">
        <v>1</v>
      </c>
      <c r="W62">
        <v>1</v>
      </c>
      <c r="X62">
        <v>779270851</v>
      </c>
      <c r="Y62">
        <f t="shared" si="16"/>
        <v>-1.91</v>
      </c>
      <c r="AA62">
        <v>207.13</v>
      </c>
      <c r="AB62">
        <v>0</v>
      </c>
      <c r="AC62">
        <v>0</v>
      </c>
      <c r="AD62">
        <v>0</v>
      </c>
      <c r="AE62">
        <v>61.28</v>
      </c>
      <c r="AF62">
        <v>0</v>
      </c>
      <c r="AG62">
        <v>0</v>
      </c>
      <c r="AH62">
        <v>0</v>
      </c>
      <c r="AI62">
        <v>3.38</v>
      </c>
      <c r="AJ62">
        <v>1</v>
      </c>
      <c r="AK62">
        <v>1</v>
      </c>
      <c r="AL62">
        <v>1</v>
      </c>
      <c r="AM62">
        <v>2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-1.91</v>
      </c>
      <c r="AU62" t="s">
        <v>3</v>
      </c>
      <c r="AV62">
        <v>0</v>
      </c>
      <c r="AW62">
        <v>2</v>
      </c>
      <c r="AX62">
        <v>94799020</v>
      </c>
      <c r="AY62">
        <v>1</v>
      </c>
      <c r="AZ62">
        <v>6144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V62">
        <v>0</v>
      </c>
      <c r="CW62">
        <v>0</v>
      </c>
      <c r="CX62">
        <f>ROUND(Y62*Source!I84,9)</f>
        <v>-11.908849999999999</v>
      </c>
      <c r="CY62">
        <f t="shared" si="21"/>
        <v>207.13</v>
      </c>
      <c r="CZ62">
        <f t="shared" si="22"/>
        <v>61.28</v>
      </c>
      <c r="DA62">
        <f t="shared" si="23"/>
        <v>3.38</v>
      </c>
      <c r="DB62">
        <f t="shared" si="17"/>
        <v>-117.04</v>
      </c>
      <c r="DC62">
        <f t="shared" si="18"/>
        <v>0</v>
      </c>
      <c r="DD62" t="s">
        <v>3</v>
      </c>
      <c r="DE62" t="s">
        <v>3</v>
      </c>
      <c r="DF62">
        <f t="shared" si="24"/>
        <v>-2466.6799999999998</v>
      </c>
      <c r="DG62">
        <f t="shared" si="25"/>
        <v>0</v>
      </c>
      <c r="DH62">
        <f t="shared" si="26"/>
        <v>0</v>
      </c>
      <c r="DI62">
        <f t="shared" si="1"/>
        <v>0</v>
      </c>
      <c r="DJ62">
        <f t="shared" si="27"/>
        <v>-2466.6799999999998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ROW(Source!A84)</f>
        <v>84</v>
      </c>
      <c r="B63">
        <v>94798619</v>
      </c>
      <c r="C63">
        <v>94799005</v>
      </c>
      <c r="D63">
        <v>37744698</v>
      </c>
      <c r="E63">
        <v>1</v>
      </c>
      <c r="F63">
        <v>1</v>
      </c>
      <c r="G63">
        <v>1</v>
      </c>
      <c r="H63">
        <v>3</v>
      </c>
      <c r="I63" t="s">
        <v>178</v>
      </c>
      <c r="J63" t="s">
        <v>180</v>
      </c>
      <c r="K63" t="s">
        <v>179</v>
      </c>
      <c r="L63">
        <v>1348</v>
      </c>
      <c r="N63">
        <v>1009</v>
      </c>
      <c r="O63" t="s">
        <v>170</v>
      </c>
      <c r="P63" t="s">
        <v>170</v>
      </c>
      <c r="Q63">
        <v>1000</v>
      </c>
      <c r="W63">
        <v>1</v>
      </c>
      <c r="X63">
        <v>-763406924</v>
      </c>
      <c r="Y63">
        <f t="shared" si="16"/>
        <v>-3.48E-3</v>
      </c>
      <c r="AA63">
        <v>80130.600000000006</v>
      </c>
      <c r="AB63">
        <v>0</v>
      </c>
      <c r="AC63">
        <v>0</v>
      </c>
      <c r="AD63">
        <v>0</v>
      </c>
      <c r="AE63">
        <v>15620</v>
      </c>
      <c r="AF63">
        <v>0</v>
      </c>
      <c r="AG63">
        <v>0</v>
      </c>
      <c r="AH63">
        <v>0</v>
      </c>
      <c r="AI63">
        <v>5.13</v>
      </c>
      <c r="AJ63">
        <v>1</v>
      </c>
      <c r="AK63">
        <v>1</v>
      </c>
      <c r="AL63">
        <v>1</v>
      </c>
      <c r="AM63">
        <v>2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-3.48E-3</v>
      </c>
      <c r="AU63" t="s">
        <v>3</v>
      </c>
      <c r="AV63">
        <v>0</v>
      </c>
      <c r="AW63">
        <v>2</v>
      </c>
      <c r="AX63">
        <v>94799021</v>
      </c>
      <c r="AY63">
        <v>1</v>
      </c>
      <c r="AZ63">
        <v>6144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V63">
        <v>0</v>
      </c>
      <c r="CW63">
        <v>0</v>
      </c>
      <c r="CX63">
        <f>ROUND(Y63*Source!I84,9)</f>
        <v>-2.16978E-2</v>
      </c>
      <c r="CY63">
        <f t="shared" si="21"/>
        <v>80130.600000000006</v>
      </c>
      <c r="CZ63">
        <f t="shared" si="22"/>
        <v>15620</v>
      </c>
      <c r="DA63">
        <f t="shared" si="23"/>
        <v>5.13</v>
      </c>
      <c r="DB63">
        <f t="shared" si="17"/>
        <v>-54.36</v>
      </c>
      <c r="DC63">
        <f t="shared" si="18"/>
        <v>0</v>
      </c>
      <c r="DD63" t="s">
        <v>3</v>
      </c>
      <c r="DE63" t="s">
        <v>3</v>
      </c>
      <c r="DF63">
        <f t="shared" si="24"/>
        <v>-1738.66</v>
      </c>
      <c r="DG63">
        <f t="shared" si="25"/>
        <v>0</v>
      </c>
      <c r="DH63">
        <f t="shared" si="26"/>
        <v>0</v>
      </c>
      <c r="DI63">
        <f t="shared" si="1"/>
        <v>0</v>
      </c>
      <c r="DJ63">
        <f t="shared" si="27"/>
        <v>-1738.66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ROW(Source!A84)</f>
        <v>84</v>
      </c>
      <c r="B64">
        <v>94798619</v>
      </c>
      <c r="C64">
        <v>94799005</v>
      </c>
      <c r="D64">
        <v>37776003</v>
      </c>
      <c r="E64">
        <v>1</v>
      </c>
      <c r="F64">
        <v>1</v>
      </c>
      <c r="G64">
        <v>1</v>
      </c>
      <c r="H64">
        <v>3</v>
      </c>
      <c r="I64" t="s">
        <v>165</v>
      </c>
      <c r="J64" t="s">
        <v>167</v>
      </c>
      <c r="K64" t="s">
        <v>166</v>
      </c>
      <c r="L64">
        <v>1339</v>
      </c>
      <c r="N64">
        <v>1007</v>
      </c>
      <c r="O64" t="s">
        <v>52</v>
      </c>
      <c r="P64" t="s">
        <v>52</v>
      </c>
      <c r="Q64">
        <v>1</v>
      </c>
      <c r="W64">
        <v>0</v>
      </c>
      <c r="X64">
        <v>1301139537</v>
      </c>
      <c r="Y64">
        <f t="shared" si="16"/>
        <v>1.44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M64">
        <v>0</v>
      </c>
      <c r="AN64">
        <v>0</v>
      </c>
      <c r="AO64">
        <v>0</v>
      </c>
      <c r="AP64">
        <v>1</v>
      </c>
      <c r="AQ64">
        <v>0</v>
      </c>
      <c r="AR64">
        <v>0</v>
      </c>
      <c r="AS64" t="s">
        <v>3</v>
      </c>
      <c r="AT64">
        <v>1.44</v>
      </c>
      <c r="AU64" t="s">
        <v>3</v>
      </c>
      <c r="AV64">
        <v>0</v>
      </c>
      <c r="AW64">
        <v>2</v>
      </c>
      <c r="AX64">
        <v>94799022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V64">
        <v>0</v>
      </c>
      <c r="CW64">
        <v>0</v>
      </c>
      <c r="CX64">
        <f>ROUND(Y64*Source!I84,9)</f>
        <v>8.9784000000000006</v>
      </c>
      <c r="CY64">
        <f t="shared" si="21"/>
        <v>0</v>
      </c>
      <c r="CZ64">
        <f t="shared" si="22"/>
        <v>0</v>
      </c>
      <c r="DA64">
        <f t="shared" si="23"/>
        <v>1</v>
      </c>
      <c r="DB64">
        <f t="shared" si="17"/>
        <v>0</v>
      </c>
      <c r="DC64">
        <f t="shared" si="18"/>
        <v>0</v>
      </c>
      <c r="DD64" t="s">
        <v>3</v>
      </c>
      <c r="DE64" t="s">
        <v>3</v>
      </c>
      <c r="DF64">
        <f>ROUND(ROUND(AE64,2)*CX64,2)</f>
        <v>0</v>
      </c>
      <c r="DG64">
        <f t="shared" si="25"/>
        <v>0</v>
      </c>
      <c r="DH64">
        <f t="shared" si="26"/>
        <v>0</v>
      </c>
      <c r="DI64">
        <f t="shared" si="1"/>
        <v>0</v>
      </c>
      <c r="DJ64">
        <f t="shared" si="27"/>
        <v>0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ROW(Source!A84)</f>
        <v>84</v>
      </c>
      <c r="B65">
        <v>94798619</v>
      </c>
      <c r="C65">
        <v>94799005</v>
      </c>
      <c r="D65">
        <v>37777274</v>
      </c>
      <c r="E65">
        <v>1</v>
      </c>
      <c r="F65">
        <v>1</v>
      </c>
      <c r="G65">
        <v>1</v>
      </c>
      <c r="H65">
        <v>3</v>
      </c>
      <c r="I65" t="s">
        <v>181</v>
      </c>
      <c r="J65" t="s">
        <v>183</v>
      </c>
      <c r="K65" t="s">
        <v>182</v>
      </c>
      <c r="L65">
        <v>1339</v>
      </c>
      <c r="N65">
        <v>1007</v>
      </c>
      <c r="O65" t="s">
        <v>52</v>
      </c>
      <c r="P65" t="s">
        <v>52</v>
      </c>
      <c r="Q65">
        <v>1</v>
      </c>
      <c r="W65">
        <v>1</v>
      </c>
      <c r="X65">
        <v>59586033</v>
      </c>
      <c r="Y65">
        <f t="shared" si="16"/>
        <v>-0.69</v>
      </c>
      <c r="AA65">
        <v>4263.9399999999996</v>
      </c>
      <c r="AB65">
        <v>0</v>
      </c>
      <c r="AC65">
        <v>0</v>
      </c>
      <c r="AD65">
        <v>0</v>
      </c>
      <c r="AE65">
        <v>279.97000000000003</v>
      </c>
      <c r="AF65">
        <v>0</v>
      </c>
      <c r="AG65">
        <v>0</v>
      </c>
      <c r="AH65">
        <v>0</v>
      </c>
      <c r="AI65">
        <v>15.23</v>
      </c>
      <c r="AJ65">
        <v>1</v>
      </c>
      <c r="AK65">
        <v>1</v>
      </c>
      <c r="AL65">
        <v>1</v>
      </c>
      <c r="AM65">
        <v>2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-0.69</v>
      </c>
      <c r="AU65" t="s">
        <v>3</v>
      </c>
      <c r="AV65">
        <v>0</v>
      </c>
      <c r="AW65">
        <v>2</v>
      </c>
      <c r="AX65">
        <v>94799023</v>
      </c>
      <c r="AY65">
        <v>1</v>
      </c>
      <c r="AZ65">
        <v>6144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V65">
        <v>0</v>
      </c>
      <c r="CW65">
        <v>0</v>
      </c>
      <c r="CX65">
        <f>ROUND(Y65*Source!I84,9)</f>
        <v>-4.3021500000000001</v>
      </c>
      <c r="CY65">
        <f t="shared" si="21"/>
        <v>4263.9399999999996</v>
      </c>
      <c r="CZ65">
        <f t="shared" si="22"/>
        <v>279.97000000000003</v>
      </c>
      <c r="DA65">
        <f t="shared" si="23"/>
        <v>15.23</v>
      </c>
      <c r="DB65">
        <f t="shared" si="17"/>
        <v>-193.18</v>
      </c>
      <c r="DC65">
        <f t="shared" si="18"/>
        <v>0</v>
      </c>
      <c r="DD65" t="s">
        <v>3</v>
      </c>
      <c r="DE65" t="s">
        <v>3</v>
      </c>
      <c r="DF65">
        <f>ROUND(ROUND(AE65*AI65,2)*CX65,2)</f>
        <v>-18344.11</v>
      </c>
      <c r="DG65">
        <f t="shared" si="25"/>
        <v>0</v>
      </c>
      <c r="DH65">
        <f t="shared" si="26"/>
        <v>0</v>
      </c>
      <c r="DI65">
        <f t="shared" ref="DI65:DI128" si="28">ROUND(ROUND(AH65,2)*CX65,2)</f>
        <v>0</v>
      </c>
      <c r="DJ65">
        <f t="shared" si="27"/>
        <v>-18344.11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ROW(Source!A94)</f>
        <v>94</v>
      </c>
      <c r="B66">
        <v>94798619</v>
      </c>
      <c r="C66">
        <v>94799156</v>
      </c>
      <c r="D66">
        <v>23134628</v>
      </c>
      <c r="E66">
        <v>1</v>
      </c>
      <c r="F66">
        <v>1</v>
      </c>
      <c r="G66">
        <v>1</v>
      </c>
      <c r="H66">
        <v>1</v>
      </c>
      <c r="I66" t="s">
        <v>719</v>
      </c>
      <c r="J66" t="s">
        <v>3</v>
      </c>
      <c r="K66" t="s">
        <v>720</v>
      </c>
      <c r="L66">
        <v>1369</v>
      </c>
      <c r="N66">
        <v>1013</v>
      </c>
      <c r="O66" t="s">
        <v>696</v>
      </c>
      <c r="P66" t="s">
        <v>696</v>
      </c>
      <c r="Q66">
        <v>1</v>
      </c>
      <c r="W66">
        <v>0</v>
      </c>
      <c r="X66">
        <v>-300987236</v>
      </c>
      <c r="Y66">
        <f t="shared" si="16"/>
        <v>219.09</v>
      </c>
      <c r="AA66">
        <v>0</v>
      </c>
      <c r="AB66">
        <v>0</v>
      </c>
      <c r="AC66">
        <v>0</v>
      </c>
      <c r="AD66">
        <v>8.68</v>
      </c>
      <c r="AE66">
        <v>0</v>
      </c>
      <c r="AF66">
        <v>0</v>
      </c>
      <c r="AG66">
        <v>0</v>
      </c>
      <c r="AH66">
        <v>8.68</v>
      </c>
      <c r="AI66">
        <v>1</v>
      </c>
      <c r="AJ66">
        <v>1</v>
      </c>
      <c r="AK66">
        <v>1</v>
      </c>
      <c r="AL66">
        <v>1</v>
      </c>
      <c r="AM66">
        <v>-2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219.09</v>
      </c>
      <c r="AU66" t="s">
        <v>3</v>
      </c>
      <c r="AV66">
        <v>1</v>
      </c>
      <c r="AW66">
        <v>2</v>
      </c>
      <c r="AX66">
        <v>94803477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U66">
        <f>ROUND(AT66*Source!I94*AH66*AL66,2)</f>
        <v>11857.11</v>
      </c>
      <c r="CV66">
        <f>ROUND(Y66*Source!I94,9)</f>
        <v>1366.0261499999999</v>
      </c>
      <c r="CW66">
        <v>0</v>
      </c>
      <c r="CX66">
        <f>ROUND(Y66*Source!I94,9)</f>
        <v>1366.0261499999999</v>
      </c>
      <c r="CY66">
        <f>AD66</f>
        <v>8.68</v>
      </c>
      <c r="CZ66">
        <f>AH66</f>
        <v>8.68</v>
      </c>
      <c r="DA66">
        <f>AL66</f>
        <v>1</v>
      </c>
      <c r="DB66">
        <f t="shared" si="17"/>
        <v>1901.7</v>
      </c>
      <c r="DC66">
        <f t="shared" si="18"/>
        <v>0</v>
      </c>
      <c r="DD66" t="s">
        <v>3</v>
      </c>
      <c r="DE66" t="s">
        <v>3</v>
      </c>
      <c r="DF66">
        <f t="shared" ref="DF66:DF71" si="29">ROUND(ROUND(AE66,2)*CX66,2)</f>
        <v>0</v>
      </c>
      <c r="DG66">
        <f t="shared" si="25"/>
        <v>0</v>
      </c>
      <c r="DH66">
        <f t="shared" si="26"/>
        <v>0</v>
      </c>
      <c r="DI66">
        <f t="shared" si="28"/>
        <v>11857.11</v>
      </c>
      <c r="DJ66">
        <f>DI66</f>
        <v>11857.11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ROW(Source!A94)</f>
        <v>94</v>
      </c>
      <c r="B67">
        <v>94798619</v>
      </c>
      <c r="C67">
        <v>94799156</v>
      </c>
      <c r="D67">
        <v>121548</v>
      </c>
      <c r="E67">
        <v>1</v>
      </c>
      <c r="F67">
        <v>1</v>
      </c>
      <c r="G67">
        <v>1</v>
      </c>
      <c r="H67">
        <v>1</v>
      </c>
      <c r="I67" t="s">
        <v>28</v>
      </c>
      <c r="J67" t="s">
        <v>3</v>
      </c>
      <c r="K67" t="s">
        <v>705</v>
      </c>
      <c r="L67">
        <v>608254</v>
      </c>
      <c r="N67">
        <v>1013</v>
      </c>
      <c r="O67" t="s">
        <v>706</v>
      </c>
      <c r="P67" t="s">
        <v>706</v>
      </c>
      <c r="Q67">
        <v>1</v>
      </c>
      <c r="W67">
        <v>0</v>
      </c>
      <c r="X67">
        <v>-185737400</v>
      </c>
      <c r="Y67">
        <f t="shared" si="16"/>
        <v>20.36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M67">
        <v>-2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20.36</v>
      </c>
      <c r="AU67" t="s">
        <v>3</v>
      </c>
      <c r="AV67">
        <v>2</v>
      </c>
      <c r="AW67">
        <v>2</v>
      </c>
      <c r="AX67">
        <v>94803478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V67">
        <v>0</v>
      </c>
      <c r="CW67">
        <v>0</v>
      </c>
      <c r="CX67">
        <f>ROUND(Y67*Source!I94,9)</f>
        <v>126.94459999999999</v>
      </c>
      <c r="CY67">
        <f>AD67</f>
        <v>0</v>
      </c>
      <c r="CZ67">
        <f>AH67</f>
        <v>0</v>
      </c>
      <c r="DA67">
        <f>AL67</f>
        <v>1</v>
      </c>
      <c r="DB67">
        <f t="shared" si="17"/>
        <v>0</v>
      </c>
      <c r="DC67">
        <f t="shared" si="18"/>
        <v>0</v>
      </c>
      <c r="DD67" t="s">
        <v>3</v>
      </c>
      <c r="DE67" t="s">
        <v>3</v>
      </c>
      <c r="DF67">
        <f t="shared" si="29"/>
        <v>0</v>
      </c>
      <c r="DG67">
        <f t="shared" si="25"/>
        <v>0</v>
      </c>
      <c r="DH67">
        <f t="shared" si="26"/>
        <v>0</v>
      </c>
      <c r="DI67">
        <f t="shared" si="28"/>
        <v>0</v>
      </c>
      <c r="DJ67">
        <f>DI67</f>
        <v>0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ROW(Source!A94)</f>
        <v>94</v>
      </c>
      <c r="B68">
        <v>94798619</v>
      </c>
      <c r="C68">
        <v>94799156</v>
      </c>
      <c r="D68">
        <v>37802443</v>
      </c>
      <c r="E68">
        <v>1</v>
      </c>
      <c r="F68">
        <v>1</v>
      </c>
      <c r="G68">
        <v>1</v>
      </c>
      <c r="H68">
        <v>2</v>
      </c>
      <c r="I68" t="s">
        <v>721</v>
      </c>
      <c r="J68" t="s">
        <v>722</v>
      </c>
      <c r="K68" t="s">
        <v>723</v>
      </c>
      <c r="L68">
        <v>1368</v>
      </c>
      <c r="N68">
        <v>1011</v>
      </c>
      <c r="O68" t="s">
        <v>700</v>
      </c>
      <c r="P68" t="s">
        <v>700</v>
      </c>
      <c r="Q68">
        <v>1</v>
      </c>
      <c r="W68">
        <v>0</v>
      </c>
      <c r="X68">
        <v>1447433125</v>
      </c>
      <c r="Y68">
        <f t="shared" si="16"/>
        <v>20.36</v>
      </c>
      <c r="AA68">
        <v>0</v>
      </c>
      <c r="AB68">
        <v>1453.68</v>
      </c>
      <c r="AC68">
        <v>426.77</v>
      </c>
      <c r="AD68">
        <v>0</v>
      </c>
      <c r="AE68">
        <v>0</v>
      </c>
      <c r="AF68">
        <v>124.14</v>
      </c>
      <c r="AG68">
        <v>12.1</v>
      </c>
      <c r="AH68">
        <v>0</v>
      </c>
      <c r="AI68">
        <v>1</v>
      </c>
      <c r="AJ68">
        <v>11.71</v>
      </c>
      <c r="AK68">
        <v>35.270000000000003</v>
      </c>
      <c r="AL68">
        <v>1</v>
      </c>
      <c r="AM68">
        <v>2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20.36</v>
      </c>
      <c r="AU68" t="s">
        <v>3</v>
      </c>
      <c r="AV68">
        <v>0</v>
      </c>
      <c r="AW68">
        <v>2</v>
      </c>
      <c r="AX68">
        <v>94803479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V68">
        <v>0</v>
      </c>
      <c r="CW68">
        <f>ROUND(Y68*Source!I94*DO68,9)</f>
        <v>0</v>
      </c>
      <c r="CX68">
        <f>ROUND(Y68*Source!I94,9)</f>
        <v>126.94459999999999</v>
      </c>
      <c r="CY68">
        <f>AB68</f>
        <v>1453.68</v>
      </c>
      <c r="CZ68">
        <f>AF68</f>
        <v>124.14</v>
      </c>
      <c r="DA68">
        <f>AJ68</f>
        <v>11.71</v>
      </c>
      <c r="DB68">
        <f t="shared" si="17"/>
        <v>2527.4899999999998</v>
      </c>
      <c r="DC68">
        <f t="shared" si="18"/>
        <v>246.36</v>
      </c>
      <c r="DD68" t="s">
        <v>3</v>
      </c>
      <c r="DE68" t="s">
        <v>3</v>
      </c>
      <c r="DF68">
        <f t="shared" si="29"/>
        <v>0</v>
      </c>
      <c r="DG68">
        <f>ROUND(ROUND(AF68*AJ68,2)*CX68,2)</f>
        <v>184536.83</v>
      </c>
      <c r="DH68">
        <f>ROUND(ROUND(AG68*AK68,2)*CX68,2)</f>
        <v>54176.15</v>
      </c>
      <c r="DI68">
        <f t="shared" si="28"/>
        <v>0</v>
      </c>
      <c r="DJ68">
        <f>DG68</f>
        <v>184536.83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ROW(Source!A94)</f>
        <v>94</v>
      </c>
      <c r="B69">
        <v>94798619</v>
      </c>
      <c r="C69">
        <v>94799156</v>
      </c>
      <c r="D69">
        <v>37802643</v>
      </c>
      <c r="E69">
        <v>1</v>
      </c>
      <c r="F69">
        <v>1</v>
      </c>
      <c r="G69">
        <v>1</v>
      </c>
      <c r="H69">
        <v>2</v>
      </c>
      <c r="I69" t="s">
        <v>724</v>
      </c>
      <c r="J69" t="s">
        <v>725</v>
      </c>
      <c r="K69" t="s">
        <v>726</v>
      </c>
      <c r="L69">
        <v>1368</v>
      </c>
      <c r="N69">
        <v>1011</v>
      </c>
      <c r="O69" t="s">
        <v>700</v>
      </c>
      <c r="P69" t="s">
        <v>700</v>
      </c>
      <c r="Q69">
        <v>1</v>
      </c>
      <c r="W69">
        <v>0</v>
      </c>
      <c r="X69">
        <v>746500588</v>
      </c>
      <c r="Y69">
        <f t="shared" si="16"/>
        <v>6.91</v>
      </c>
      <c r="AA69">
        <v>0</v>
      </c>
      <c r="AB69">
        <v>179.49</v>
      </c>
      <c r="AC69">
        <v>0</v>
      </c>
      <c r="AD69">
        <v>0</v>
      </c>
      <c r="AE69">
        <v>0</v>
      </c>
      <c r="AF69">
        <v>20.350000000000001</v>
      </c>
      <c r="AG69">
        <v>0</v>
      </c>
      <c r="AH69">
        <v>0</v>
      </c>
      <c r="AI69">
        <v>1</v>
      </c>
      <c r="AJ69">
        <v>8.82</v>
      </c>
      <c r="AK69">
        <v>35.270000000000003</v>
      </c>
      <c r="AL69">
        <v>1</v>
      </c>
      <c r="AM69">
        <v>2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6.91</v>
      </c>
      <c r="AU69" t="s">
        <v>3</v>
      </c>
      <c r="AV69">
        <v>0</v>
      </c>
      <c r="AW69">
        <v>2</v>
      </c>
      <c r="AX69">
        <v>94803480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V69">
        <v>0</v>
      </c>
      <c r="CW69">
        <f>ROUND(Y69*Source!I94*DO69,9)</f>
        <v>0</v>
      </c>
      <c r="CX69">
        <f>ROUND(Y69*Source!I94,9)</f>
        <v>43.083849999999998</v>
      </c>
      <c r="CY69">
        <f>AB69</f>
        <v>179.49</v>
      </c>
      <c r="CZ69">
        <f>AF69</f>
        <v>20.350000000000001</v>
      </c>
      <c r="DA69">
        <f>AJ69</f>
        <v>8.82</v>
      </c>
      <c r="DB69">
        <f t="shared" si="17"/>
        <v>140.62</v>
      </c>
      <c r="DC69">
        <f t="shared" si="18"/>
        <v>0</v>
      </c>
      <c r="DD69" t="s">
        <v>3</v>
      </c>
      <c r="DE69" t="s">
        <v>3</v>
      </c>
      <c r="DF69">
        <f t="shared" si="29"/>
        <v>0</v>
      </c>
      <c r="DG69">
        <f>ROUND(ROUND(AF69*AJ69,2)*CX69,2)</f>
        <v>7733.12</v>
      </c>
      <c r="DH69">
        <f>ROUND(ROUND(AG69*AK69,2)*CX69,2)</f>
        <v>0</v>
      </c>
      <c r="DI69">
        <f t="shared" si="28"/>
        <v>0</v>
      </c>
      <c r="DJ69">
        <f>DG69</f>
        <v>7733.12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ROW(Source!A94)</f>
        <v>94</v>
      </c>
      <c r="B70">
        <v>94798619</v>
      </c>
      <c r="C70">
        <v>94799156</v>
      </c>
      <c r="D70">
        <v>37802894</v>
      </c>
      <c r="E70">
        <v>1</v>
      </c>
      <c r="F70">
        <v>1</v>
      </c>
      <c r="G70">
        <v>1</v>
      </c>
      <c r="H70">
        <v>2</v>
      </c>
      <c r="I70" t="s">
        <v>727</v>
      </c>
      <c r="J70" t="s">
        <v>728</v>
      </c>
      <c r="K70" t="s">
        <v>729</v>
      </c>
      <c r="L70">
        <v>1368</v>
      </c>
      <c r="N70">
        <v>1011</v>
      </c>
      <c r="O70" t="s">
        <v>700</v>
      </c>
      <c r="P70" t="s">
        <v>700</v>
      </c>
      <c r="Q70">
        <v>1</v>
      </c>
      <c r="W70">
        <v>0</v>
      </c>
      <c r="X70">
        <v>-1548607267</v>
      </c>
      <c r="Y70">
        <f t="shared" si="16"/>
        <v>0.4</v>
      </c>
      <c r="AA70">
        <v>0</v>
      </c>
      <c r="AB70">
        <v>42.24</v>
      </c>
      <c r="AC70">
        <v>0</v>
      </c>
      <c r="AD70">
        <v>0</v>
      </c>
      <c r="AE70">
        <v>0</v>
      </c>
      <c r="AF70">
        <v>8.0299999999999994</v>
      </c>
      <c r="AG70">
        <v>0</v>
      </c>
      <c r="AH70">
        <v>0</v>
      </c>
      <c r="AI70">
        <v>1</v>
      </c>
      <c r="AJ70">
        <v>5.26</v>
      </c>
      <c r="AK70">
        <v>35.270000000000003</v>
      </c>
      <c r="AL70">
        <v>1</v>
      </c>
      <c r="AM70">
        <v>2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0.4</v>
      </c>
      <c r="AU70" t="s">
        <v>3</v>
      </c>
      <c r="AV70">
        <v>0</v>
      </c>
      <c r="AW70">
        <v>2</v>
      </c>
      <c r="AX70">
        <v>94803481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V70">
        <v>0</v>
      </c>
      <c r="CW70">
        <f>ROUND(Y70*Source!I94*DO70,9)</f>
        <v>0</v>
      </c>
      <c r="CX70">
        <f>ROUND(Y70*Source!I94,9)</f>
        <v>2.4940000000000002</v>
      </c>
      <c r="CY70">
        <f>AB70</f>
        <v>42.24</v>
      </c>
      <c r="CZ70">
        <f>AF70</f>
        <v>8.0299999999999994</v>
      </c>
      <c r="DA70">
        <f>AJ70</f>
        <v>5.26</v>
      </c>
      <c r="DB70">
        <f t="shared" si="17"/>
        <v>3.21</v>
      </c>
      <c r="DC70">
        <f t="shared" si="18"/>
        <v>0</v>
      </c>
      <c r="DD70" t="s">
        <v>3</v>
      </c>
      <c r="DE70" t="s">
        <v>3</v>
      </c>
      <c r="DF70">
        <f t="shared" si="29"/>
        <v>0</v>
      </c>
      <c r="DG70">
        <f>ROUND(ROUND(AF70*AJ70,2)*CX70,2)</f>
        <v>105.35</v>
      </c>
      <c r="DH70">
        <f>ROUND(ROUND(AG70*AK70,2)*CX70,2)</f>
        <v>0</v>
      </c>
      <c r="DI70">
        <f t="shared" si="28"/>
        <v>0</v>
      </c>
      <c r="DJ70">
        <f>DG70</f>
        <v>105.35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ROW(Source!A94)</f>
        <v>94</v>
      </c>
      <c r="B71">
        <v>94798619</v>
      </c>
      <c r="C71">
        <v>94799156</v>
      </c>
      <c r="D71">
        <v>37804456</v>
      </c>
      <c r="E71">
        <v>1</v>
      </c>
      <c r="F71">
        <v>1</v>
      </c>
      <c r="G71">
        <v>1</v>
      </c>
      <c r="H71">
        <v>2</v>
      </c>
      <c r="I71" t="s">
        <v>713</v>
      </c>
      <c r="J71" t="s">
        <v>714</v>
      </c>
      <c r="K71" t="s">
        <v>715</v>
      </c>
      <c r="L71">
        <v>1368</v>
      </c>
      <c r="N71">
        <v>1011</v>
      </c>
      <c r="O71" t="s">
        <v>700</v>
      </c>
      <c r="P71" t="s">
        <v>700</v>
      </c>
      <c r="Q71">
        <v>1</v>
      </c>
      <c r="W71">
        <v>0</v>
      </c>
      <c r="X71">
        <v>-671646184</v>
      </c>
      <c r="Y71">
        <f t="shared" si="16"/>
        <v>0.62</v>
      </c>
      <c r="AA71">
        <v>0</v>
      </c>
      <c r="AB71">
        <v>1305.74</v>
      </c>
      <c r="AC71">
        <v>365.04</v>
      </c>
      <c r="AD71">
        <v>0</v>
      </c>
      <c r="AE71">
        <v>0</v>
      </c>
      <c r="AF71">
        <v>91.76</v>
      </c>
      <c r="AG71">
        <v>10.35</v>
      </c>
      <c r="AH71">
        <v>0</v>
      </c>
      <c r="AI71">
        <v>1</v>
      </c>
      <c r="AJ71">
        <v>14.23</v>
      </c>
      <c r="AK71">
        <v>35.270000000000003</v>
      </c>
      <c r="AL71">
        <v>1</v>
      </c>
      <c r="AM71">
        <v>2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0.62</v>
      </c>
      <c r="AU71" t="s">
        <v>3</v>
      </c>
      <c r="AV71">
        <v>0</v>
      </c>
      <c r="AW71">
        <v>2</v>
      </c>
      <c r="AX71">
        <v>94803482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V71">
        <v>0</v>
      </c>
      <c r="CW71">
        <f>ROUND(Y71*Source!I94*DO71,9)</f>
        <v>0</v>
      </c>
      <c r="CX71">
        <f>ROUND(Y71*Source!I94,9)</f>
        <v>3.8656999999999999</v>
      </c>
      <c r="CY71">
        <f>AB71</f>
        <v>1305.74</v>
      </c>
      <c r="CZ71">
        <f>AF71</f>
        <v>91.76</v>
      </c>
      <c r="DA71">
        <f>AJ71</f>
        <v>14.23</v>
      </c>
      <c r="DB71">
        <f t="shared" si="17"/>
        <v>56.89</v>
      </c>
      <c r="DC71">
        <f t="shared" si="18"/>
        <v>6.42</v>
      </c>
      <c r="DD71" t="s">
        <v>3</v>
      </c>
      <c r="DE71" t="s">
        <v>3</v>
      </c>
      <c r="DF71">
        <f t="shared" si="29"/>
        <v>0</v>
      </c>
      <c r="DG71">
        <f>ROUND(ROUND(AF71*AJ71,2)*CX71,2)</f>
        <v>5047.6000000000004</v>
      </c>
      <c r="DH71">
        <f>ROUND(ROUND(AG71*AK71,2)*CX71,2)</f>
        <v>1411.14</v>
      </c>
      <c r="DI71">
        <f t="shared" si="28"/>
        <v>0</v>
      </c>
      <c r="DJ71">
        <f>DG71</f>
        <v>5047.6000000000004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ROW(Source!A94)</f>
        <v>94</v>
      </c>
      <c r="B72">
        <v>94798619</v>
      </c>
      <c r="C72">
        <v>94799156</v>
      </c>
      <c r="D72">
        <v>37736279</v>
      </c>
      <c r="E72">
        <v>1</v>
      </c>
      <c r="F72">
        <v>1</v>
      </c>
      <c r="G72">
        <v>1</v>
      </c>
      <c r="H72">
        <v>3</v>
      </c>
      <c r="I72" t="s">
        <v>730</v>
      </c>
      <c r="J72" t="s">
        <v>731</v>
      </c>
      <c r="K72" t="s">
        <v>732</v>
      </c>
      <c r="L72">
        <v>1348</v>
      </c>
      <c r="N72">
        <v>1009</v>
      </c>
      <c r="O72" t="s">
        <v>170</v>
      </c>
      <c r="P72" t="s">
        <v>170</v>
      </c>
      <c r="Q72">
        <v>1000</v>
      </c>
      <c r="W72">
        <v>0</v>
      </c>
      <c r="X72">
        <v>-936228581</v>
      </c>
      <c r="Y72">
        <f t="shared" si="16"/>
        <v>1E-3</v>
      </c>
      <c r="AA72">
        <v>76806</v>
      </c>
      <c r="AB72">
        <v>0</v>
      </c>
      <c r="AC72">
        <v>0</v>
      </c>
      <c r="AD72">
        <v>0</v>
      </c>
      <c r="AE72">
        <v>10200</v>
      </c>
      <c r="AF72">
        <v>0</v>
      </c>
      <c r="AG72">
        <v>0</v>
      </c>
      <c r="AH72">
        <v>0</v>
      </c>
      <c r="AI72">
        <v>7.53</v>
      </c>
      <c r="AJ72">
        <v>1</v>
      </c>
      <c r="AK72">
        <v>1</v>
      </c>
      <c r="AL72">
        <v>1</v>
      </c>
      <c r="AM72">
        <v>2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1E-3</v>
      </c>
      <c r="AU72" t="s">
        <v>3</v>
      </c>
      <c r="AV72">
        <v>0</v>
      </c>
      <c r="AW72">
        <v>2</v>
      </c>
      <c r="AX72">
        <v>94803483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V72">
        <v>0</v>
      </c>
      <c r="CW72">
        <v>0</v>
      </c>
      <c r="CX72">
        <f>ROUND(Y72*Source!I94,9)</f>
        <v>6.2350000000000001E-3</v>
      </c>
      <c r="CY72">
        <f t="shared" ref="CY72:CY80" si="30">AA72</f>
        <v>76806</v>
      </c>
      <c r="CZ72">
        <f t="shared" ref="CZ72:CZ80" si="31">AE72</f>
        <v>10200</v>
      </c>
      <c r="DA72">
        <f t="shared" ref="DA72:DA80" si="32">AI72</f>
        <v>7.53</v>
      </c>
      <c r="DB72">
        <f t="shared" si="17"/>
        <v>10.199999999999999</v>
      </c>
      <c r="DC72">
        <f t="shared" si="18"/>
        <v>0</v>
      </c>
      <c r="DD72" t="s">
        <v>3</v>
      </c>
      <c r="DE72" t="s">
        <v>3</v>
      </c>
      <c r="DF72">
        <f t="shared" ref="DF72:DF78" si="33">ROUND(ROUND(AE72*AI72,2)*CX72,2)</f>
        <v>478.89</v>
      </c>
      <c r="DG72">
        <f t="shared" ref="DG72:DG82" si="34">ROUND(ROUND(AF72,2)*CX72,2)</f>
        <v>0</v>
      </c>
      <c r="DH72">
        <f t="shared" ref="DH72:DH82" si="35">ROUND(ROUND(AG72,2)*CX72,2)</f>
        <v>0</v>
      </c>
      <c r="DI72">
        <f t="shared" si="28"/>
        <v>0</v>
      </c>
      <c r="DJ72">
        <f t="shared" ref="DJ72:DJ80" si="36">DF72</f>
        <v>478.89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ROW(Source!A94)</f>
        <v>94</v>
      </c>
      <c r="B73">
        <v>94798619</v>
      </c>
      <c r="C73">
        <v>94799156</v>
      </c>
      <c r="D73">
        <v>37735457</v>
      </c>
      <c r="E73">
        <v>1</v>
      </c>
      <c r="F73">
        <v>1</v>
      </c>
      <c r="G73">
        <v>1</v>
      </c>
      <c r="H73">
        <v>3</v>
      </c>
      <c r="I73" t="s">
        <v>733</v>
      </c>
      <c r="J73" t="s">
        <v>734</v>
      </c>
      <c r="K73" t="s">
        <v>735</v>
      </c>
      <c r="L73">
        <v>1327</v>
      </c>
      <c r="N73">
        <v>1005</v>
      </c>
      <c r="O73" t="s">
        <v>201</v>
      </c>
      <c r="P73" t="s">
        <v>201</v>
      </c>
      <c r="Q73">
        <v>1</v>
      </c>
      <c r="W73">
        <v>0</v>
      </c>
      <c r="X73">
        <v>103972200</v>
      </c>
      <c r="Y73">
        <f t="shared" si="16"/>
        <v>150</v>
      </c>
      <c r="AA73">
        <v>189.27</v>
      </c>
      <c r="AB73">
        <v>0</v>
      </c>
      <c r="AC73">
        <v>0</v>
      </c>
      <c r="AD73">
        <v>0</v>
      </c>
      <c r="AE73">
        <v>18.87</v>
      </c>
      <c r="AF73">
        <v>0</v>
      </c>
      <c r="AG73">
        <v>0</v>
      </c>
      <c r="AH73">
        <v>0</v>
      </c>
      <c r="AI73">
        <v>10.029999999999999</v>
      </c>
      <c r="AJ73">
        <v>1</v>
      </c>
      <c r="AK73">
        <v>1</v>
      </c>
      <c r="AL73">
        <v>1</v>
      </c>
      <c r="AM73">
        <v>2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150</v>
      </c>
      <c r="AU73" t="s">
        <v>3</v>
      </c>
      <c r="AV73">
        <v>0</v>
      </c>
      <c r="AW73">
        <v>2</v>
      </c>
      <c r="AX73">
        <v>94803484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V73">
        <v>0</v>
      </c>
      <c r="CW73">
        <v>0</v>
      </c>
      <c r="CX73">
        <f>ROUND(Y73*Source!I94,9)</f>
        <v>935.25</v>
      </c>
      <c r="CY73">
        <f t="shared" si="30"/>
        <v>189.27</v>
      </c>
      <c r="CZ73">
        <f t="shared" si="31"/>
        <v>18.87</v>
      </c>
      <c r="DA73">
        <f t="shared" si="32"/>
        <v>10.029999999999999</v>
      </c>
      <c r="DB73">
        <f t="shared" si="17"/>
        <v>2830.5</v>
      </c>
      <c r="DC73">
        <f t="shared" si="18"/>
        <v>0</v>
      </c>
      <c r="DD73" t="s">
        <v>3</v>
      </c>
      <c r="DE73" t="s">
        <v>3</v>
      </c>
      <c r="DF73">
        <f t="shared" si="33"/>
        <v>177014.77</v>
      </c>
      <c r="DG73">
        <f t="shared" si="34"/>
        <v>0</v>
      </c>
      <c r="DH73">
        <f t="shared" si="35"/>
        <v>0</v>
      </c>
      <c r="DI73">
        <f t="shared" si="28"/>
        <v>0</v>
      </c>
      <c r="DJ73">
        <f t="shared" si="36"/>
        <v>177014.77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ROW(Source!A94)</f>
        <v>94</v>
      </c>
      <c r="B74">
        <v>94798619</v>
      </c>
      <c r="C74">
        <v>94799156</v>
      </c>
      <c r="D74">
        <v>37736612</v>
      </c>
      <c r="E74">
        <v>1</v>
      </c>
      <c r="F74">
        <v>1</v>
      </c>
      <c r="G74">
        <v>1</v>
      </c>
      <c r="H74">
        <v>3</v>
      </c>
      <c r="I74" t="s">
        <v>736</v>
      </c>
      <c r="J74" t="s">
        <v>737</v>
      </c>
      <c r="K74" t="s">
        <v>738</v>
      </c>
      <c r="L74">
        <v>1348</v>
      </c>
      <c r="N74">
        <v>1009</v>
      </c>
      <c r="O74" t="s">
        <v>170</v>
      </c>
      <c r="P74" t="s">
        <v>170</v>
      </c>
      <c r="Q74">
        <v>1000</v>
      </c>
      <c r="W74">
        <v>0</v>
      </c>
      <c r="X74">
        <v>950208609</v>
      </c>
      <c r="Y74">
        <f t="shared" si="16"/>
        <v>6.0000000000000001E-3</v>
      </c>
      <c r="AA74">
        <v>148428</v>
      </c>
      <c r="AB74">
        <v>0</v>
      </c>
      <c r="AC74">
        <v>0</v>
      </c>
      <c r="AD74">
        <v>0</v>
      </c>
      <c r="AE74">
        <v>9424</v>
      </c>
      <c r="AF74">
        <v>0</v>
      </c>
      <c r="AG74">
        <v>0</v>
      </c>
      <c r="AH74">
        <v>0</v>
      </c>
      <c r="AI74">
        <v>15.75</v>
      </c>
      <c r="AJ74">
        <v>1</v>
      </c>
      <c r="AK74">
        <v>1</v>
      </c>
      <c r="AL74">
        <v>1</v>
      </c>
      <c r="AM74">
        <v>2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6.0000000000000001E-3</v>
      </c>
      <c r="AU74" t="s">
        <v>3</v>
      </c>
      <c r="AV74">
        <v>0</v>
      </c>
      <c r="AW74">
        <v>2</v>
      </c>
      <c r="AX74">
        <v>94803485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V74">
        <v>0</v>
      </c>
      <c r="CW74">
        <v>0</v>
      </c>
      <c r="CX74">
        <f>ROUND(Y74*Source!I94,9)</f>
        <v>3.7409999999999999E-2</v>
      </c>
      <c r="CY74">
        <f t="shared" si="30"/>
        <v>148428</v>
      </c>
      <c r="CZ74">
        <f t="shared" si="31"/>
        <v>9424</v>
      </c>
      <c r="DA74">
        <f t="shared" si="32"/>
        <v>15.75</v>
      </c>
      <c r="DB74">
        <f t="shared" si="17"/>
        <v>56.54</v>
      </c>
      <c r="DC74">
        <f t="shared" si="18"/>
        <v>0</v>
      </c>
      <c r="DD74" t="s">
        <v>3</v>
      </c>
      <c r="DE74" t="s">
        <v>3</v>
      </c>
      <c r="DF74">
        <f t="shared" si="33"/>
        <v>5552.69</v>
      </c>
      <c r="DG74">
        <f t="shared" si="34"/>
        <v>0</v>
      </c>
      <c r="DH74">
        <f t="shared" si="35"/>
        <v>0</v>
      </c>
      <c r="DI74">
        <f t="shared" si="28"/>
        <v>0</v>
      </c>
      <c r="DJ74">
        <f t="shared" si="36"/>
        <v>5552.69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ROW(Source!A94)</f>
        <v>94</v>
      </c>
      <c r="B75">
        <v>94798619</v>
      </c>
      <c r="C75">
        <v>94799156</v>
      </c>
      <c r="D75">
        <v>37751329</v>
      </c>
      <c r="E75">
        <v>1</v>
      </c>
      <c r="F75">
        <v>1</v>
      </c>
      <c r="G75">
        <v>1</v>
      </c>
      <c r="H75">
        <v>3</v>
      </c>
      <c r="I75" t="s">
        <v>739</v>
      </c>
      <c r="J75" t="s">
        <v>740</v>
      </c>
      <c r="K75" t="s">
        <v>741</v>
      </c>
      <c r="L75">
        <v>1348</v>
      </c>
      <c r="N75">
        <v>1009</v>
      </c>
      <c r="O75" t="s">
        <v>170</v>
      </c>
      <c r="P75" t="s">
        <v>170</v>
      </c>
      <c r="Q75">
        <v>1000</v>
      </c>
      <c r="W75">
        <v>0</v>
      </c>
      <c r="X75">
        <v>573814964</v>
      </c>
      <c r="Y75">
        <f t="shared" si="16"/>
        <v>2E-3</v>
      </c>
      <c r="AA75">
        <v>119234.15</v>
      </c>
      <c r="AB75">
        <v>0</v>
      </c>
      <c r="AC75">
        <v>0</v>
      </c>
      <c r="AD75">
        <v>0</v>
      </c>
      <c r="AE75">
        <v>10045</v>
      </c>
      <c r="AF75">
        <v>0</v>
      </c>
      <c r="AG75">
        <v>0</v>
      </c>
      <c r="AH75">
        <v>0</v>
      </c>
      <c r="AI75">
        <v>11.87</v>
      </c>
      <c r="AJ75">
        <v>1</v>
      </c>
      <c r="AK75">
        <v>1</v>
      </c>
      <c r="AL75">
        <v>1</v>
      </c>
      <c r="AM75">
        <v>2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2E-3</v>
      </c>
      <c r="AU75" t="s">
        <v>3</v>
      </c>
      <c r="AV75">
        <v>0</v>
      </c>
      <c r="AW75">
        <v>2</v>
      </c>
      <c r="AX75">
        <v>94803486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V75">
        <v>0</v>
      </c>
      <c r="CW75">
        <v>0</v>
      </c>
      <c r="CX75">
        <f>ROUND(Y75*Source!I94,9)</f>
        <v>1.247E-2</v>
      </c>
      <c r="CY75">
        <f t="shared" si="30"/>
        <v>119234.15</v>
      </c>
      <c r="CZ75">
        <f t="shared" si="31"/>
        <v>10045</v>
      </c>
      <c r="DA75">
        <f t="shared" si="32"/>
        <v>11.87</v>
      </c>
      <c r="DB75">
        <f t="shared" si="17"/>
        <v>20.09</v>
      </c>
      <c r="DC75">
        <f t="shared" si="18"/>
        <v>0</v>
      </c>
      <c r="DD75" t="s">
        <v>3</v>
      </c>
      <c r="DE75" t="s">
        <v>3</v>
      </c>
      <c r="DF75">
        <f t="shared" si="33"/>
        <v>1486.85</v>
      </c>
      <c r="DG75">
        <f t="shared" si="34"/>
        <v>0</v>
      </c>
      <c r="DH75">
        <f t="shared" si="35"/>
        <v>0</v>
      </c>
      <c r="DI75">
        <f t="shared" si="28"/>
        <v>0</v>
      </c>
      <c r="DJ75">
        <f t="shared" si="36"/>
        <v>1486.85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ROW(Source!A94)</f>
        <v>94</v>
      </c>
      <c r="B76">
        <v>94798619</v>
      </c>
      <c r="C76">
        <v>94799156</v>
      </c>
      <c r="D76">
        <v>37753213</v>
      </c>
      <c r="E76">
        <v>1</v>
      </c>
      <c r="F76">
        <v>1</v>
      </c>
      <c r="G76">
        <v>1</v>
      </c>
      <c r="H76">
        <v>3</v>
      </c>
      <c r="I76" t="s">
        <v>742</v>
      </c>
      <c r="J76" t="s">
        <v>743</v>
      </c>
      <c r="K76" t="s">
        <v>744</v>
      </c>
      <c r="L76">
        <v>1348</v>
      </c>
      <c r="N76">
        <v>1009</v>
      </c>
      <c r="O76" t="s">
        <v>170</v>
      </c>
      <c r="P76" t="s">
        <v>170</v>
      </c>
      <c r="Q76">
        <v>1000</v>
      </c>
      <c r="W76">
        <v>0</v>
      </c>
      <c r="X76">
        <v>-540646545</v>
      </c>
      <c r="Y76">
        <f t="shared" si="16"/>
        <v>0.152</v>
      </c>
      <c r="AA76">
        <v>70307.210000000006</v>
      </c>
      <c r="AB76">
        <v>0</v>
      </c>
      <c r="AC76">
        <v>0</v>
      </c>
      <c r="AD76">
        <v>0</v>
      </c>
      <c r="AE76">
        <v>6260.66</v>
      </c>
      <c r="AF76">
        <v>0</v>
      </c>
      <c r="AG76">
        <v>0</v>
      </c>
      <c r="AH76">
        <v>0</v>
      </c>
      <c r="AI76">
        <v>11.23</v>
      </c>
      <c r="AJ76">
        <v>1</v>
      </c>
      <c r="AK76">
        <v>1</v>
      </c>
      <c r="AL76">
        <v>1</v>
      </c>
      <c r="AM76">
        <v>2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0.152</v>
      </c>
      <c r="AU76" t="s">
        <v>3</v>
      </c>
      <c r="AV76">
        <v>0</v>
      </c>
      <c r="AW76">
        <v>2</v>
      </c>
      <c r="AX76">
        <v>94803487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V76">
        <v>0</v>
      </c>
      <c r="CW76">
        <v>0</v>
      </c>
      <c r="CX76">
        <f>ROUND(Y76*Source!I94,9)</f>
        <v>0.94772000000000001</v>
      </c>
      <c r="CY76">
        <f t="shared" si="30"/>
        <v>70307.210000000006</v>
      </c>
      <c r="CZ76">
        <f t="shared" si="31"/>
        <v>6260.66</v>
      </c>
      <c r="DA76">
        <f t="shared" si="32"/>
        <v>11.23</v>
      </c>
      <c r="DB76">
        <f t="shared" si="17"/>
        <v>951.62</v>
      </c>
      <c r="DC76">
        <f t="shared" si="18"/>
        <v>0</v>
      </c>
      <c r="DD76" t="s">
        <v>3</v>
      </c>
      <c r="DE76" t="s">
        <v>3</v>
      </c>
      <c r="DF76">
        <f t="shared" si="33"/>
        <v>66631.55</v>
      </c>
      <c r="DG76">
        <f t="shared" si="34"/>
        <v>0</v>
      </c>
      <c r="DH76">
        <f t="shared" si="35"/>
        <v>0</v>
      </c>
      <c r="DI76">
        <f t="shared" si="28"/>
        <v>0</v>
      </c>
      <c r="DJ76">
        <f t="shared" si="36"/>
        <v>66631.55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ROW(Source!A94)</f>
        <v>94</v>
      </c>
      <c r="B77">
        <v>94798619</v>
      </c>
      <c r="C77">
        <v>94799156</v>
      </c>
      <c r="D77">
        <v>37767878</v>
      </c>
      <c r="E77">
        <v>1</v>
      </c>
      <c r="F77">
        <v>1</v>
      </c>
      <c r="G77">
        <v>1</v>
      </c>
      <c r="H77">
        <v>3</v>
      </c>
      <c r="I77" t="s">
        <v>745</v>
      </c>
      <c r="J77" t="s">
        <v>746</v>
      </c>
      <c r="K77" t="s">
        <v>747</v>
      </c>
      <c r="L77">
        <v>1339</v>
      </c>
      <c r="N77">
        <v>1007</v>
      </c>
      <c r="O77" t="s">
        <v>52</v>
      </c>
      <c r="P77" t="s">
        <v>52</v>
      </c>
      <c r="Q77">
        <v>1</v>
      </c>
      <c r="W77">
        <v>0</v>
      </c>
      <c r="X77">
        <v>-238842698</v>
      </c>
      <c r="Y77">
        <f t="shared" si="16"/>
        <v>1.23</v>
      </c>
      <c r="AA77">
        <v>6373.2</v>
      </c>
      <c r="AB77">
        <v>0</v>
      </c>
      <c r="AC77">
        <v>0</v>
      </c>
      <c r="AD77">
        <v>0</v>
      </c>
      <c r="AE77">
        <v>565</v>
      </c>
      <c r="AF77">
        <v>0</v>
      </c>
      <c r="AG77">
        <v>0</v>
      </c>
      <c r="AH77">
        <v>0</v>
      </c>
      <c r="AI77">
        <v>11.28</v>
      </c>
      <c r="AJ77">
        <v>1</v>
      </c>
      <c r="AK77">
        <v>1</v>
      </c>
      <c r="AL77">
        <v>1</v>
      </c>
      <c r="AM77">
        <v>2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1.23</v>
      </c>
      <c r="AU77" t="s">
        <v>3</v>
      </c>
      <c r="AV77">
        <v>0</v>
      </c>
      <c r="AW77">
        <v>2</v>
      </c>
      <c r="AX77">
        <v>94803488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V77">
        <v>0</v>
      </c>
      <c r="CW77">
        <v>0</v>
      </c>
      <c r="CX77">
        <f>ROUND(Y77*Source!I94,9)</f>
        <v>7.6690500000000004</v>
      </c>
      <c r="CY77">
        <f t="shared" si="30"/>
        <v>6373.2</v>
      </c>
      <c r="CZ77">
        <f t="shared" si="31"/>
        <v>565</v>
      </c>
      <c r="DA77">
        <f t="shared" si="32"/>
        <v>11.28</v>
      </c>
      <c r="DB77">
        <f t="shared" si="17"/>
        <v>694.95</v>
      </c>
      <c r="DC77">
        <f t="shared" si="18"/>
        <v>0</v>
      </c>
      <c r="DD77" t="s">
        <v>3</v>
      </c>
      <c r="DE77" t="s">
        <v>3</v>
      </c>
      <c r="DF77">
        <f t="shared" si="33"/>
        <v>48876.39</v>
      </c>
      <c r="DG77">
        <f t="shared" si="34"/>
        <v>0</v>
      </c>
      <c r="DH77">
        <f t="shared" si="35"/>
        <v>0</v>
      </c>
      <c r="DI77">
        <f t="shared" si="28"/>
        <v>0</v>
      </c>
      <c r="DJ77">
        <f t="shared" si="36"/>
        <v>48876.39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ROW(Source!A94)</f>
        <v>94</v>
      </c>
      <c r="B78">
        <v>94798619</v>
      </c>
      <c r="C78">
        <v>94799156</v>
      </c>
      <c r="D78">
        <v>37768002</v>
      </c>
      <c r="E78">
        <v>1</v>
      </c>
      <c r="F78">
        <v>1</v>
      </c>
      <c r="G78">
        <v>1</v>
      </c>
      <c r="H78">
        <v>3</v>
      </c>
      <c r="I78" t="s">
        <v>748</v>
      </c>
      <c r="J78" t="s">
        <v>749</v>
      </c>
      <c r="K78" t="s">
        <v>750</v>
      </c>
      <c r="L78">
        <v>1339</v>
      </c>
      <c r="N78">
        <v>1007</v>
      </c>
      <c r="O78" t="s">
        <v>52</v>
      </c>
      <c r="P78" t="s">
        <v>52</v>
      </c>
      <c r="Q78">
        <v>1</v>
      </c>
      <c r="W78">
        <v>0</v>
      </c>
      <c r="X78">
        <v>1011246000</v>
      </c>
      <c r="Y78">
        <f t="shared" si="16"/>
        <v>7.0000000000000001E-3</v>
      </c>
      <c r="AA78">
        <v>4512.3999999999996</v>
      </c>
      <c r="AB78">
        <v>0</v>
      </c>
      <c r="AC78">
        <v>0</v>
      </c>
      <c r="AD78">
        <v>0</v>
      </c>
      <c r="AE78">
        <v>389</v>
      </c>
      <c r="AF78">
        <v>0</v>
      </c>
      <c r="AG78">
        <v>0</v>
      </c>
      <c r="AH78">
        <v>0</v>
      </c>
      <c r="AI78">
        <v>11.6</v>
      </c>
      <c r="AJ78">
        <v>1</v>
      </c>
      <c r="AK78">
        <v>1</v>
      </c>
      <c r="AL78">
        <v>1</v>
      </c>
      <c r="AM78">
        <v>2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7.0000000000000001E-3</v>
      </c>
      <c r="AU78" t="s">
        <v>3</v>
      </c>
      <c r="AV78">
        <v>0</v>
      </c>
      <c r="AW78">
        <v>2</v>
      </c>
      <c r="AX78">
        <v>94803489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V78">
        <v>0</v>
      </c>
      <c r="CW78">
        <v>0</v>
      </c>
      <c r="CX78">
        <f>ROUND(Y78*Source!I94,9)</f>
        <v>4.3645000000000003E-2</v>
      </c>
      <c r="CY78">
        <f t="shared" si="30"/>
        <v>4512.3999999999996</v>
      </c>
      <c r="CZ78">
        <f t="shared" si="31"/>
        <v>389</v>
      </c>
      <c r="DA78">
        <f t="shared" si="32"/>
        <v>11.6</v>
      </c>
      <c r="DB78">
        <f t="shared" si="17"/>
        <v>2.72</v>
      </c>
      <c r="DC78">
        <f t="shared" si="18"/>
        <v>0</v>
      </c>
      <c r="DD78" t="s">
        <v>3</v>
      </c>
      <c r="DE78" t="s">
        <v>3</v>
      </c>
      <c r="DF78">
        <f t="shared" si="33"/>
        <v>196.94</v>
      </c>
      <c r="DG78">
        <f t="shared" si="34"/>
        <v>0</v>
      </c>
      <c r="DH78">
        <f t="shared" si="35"/>
        <v>0</v>
      </c>
      <c r="DI78">
        <f t="shared" si="28"/>
        <v>0</v>
      </c>
      <c r="DJ78">
        <f t="shared" si="36"/>
        <v>196.94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ROW(Source!A94)</f>
        <v>94</v>
      </c>
      <c r="B79">
        <v>94798619</v>
      </c>
      <c r="C79">
        <v>94799156</v>
      </c>
      <c r="D79">
        <v>37776002</v>
      </c>
      <c r="E79">
        <v>1</v>
      </c>
      <c r="F79">
        <v>1</v>
      </c>
      <c r="G79">
        <v>1</v>
      </c>
      <c r="H79">
        <v>3</v>
      </c>
      <c r="I79" t="s">
        <v>65</v>
      </c>
      <c r="J79" t="s">
        <v>67</v>
      </c>
      <c r="K79" t="s">
        <v>66</v>
      </c>
      <c r="L79">
        <v>1354</v>
      </c>
      <c r="N79">
        <v>1010</v>
      </c>
      <c r="O79" t="s">
        <v>47</v>
      </c>
      <c r="P79" t="s">
        <v>47</v>
      </c>
      <c r="Q79">
        <v>1</v>
      </c>
      <c r="W79">
        <v>0</v>
      </c>
      <c r="X79">
        <v>821785432</v>
      </c>
      <c r="Y79">
        <f t="shared" si="16"/>
        <v>29.5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M79">
        <v>0</v>
      </c>
      <c r="AN79">
        <v>0</v>
      </c>
      <c r="AO79">
        <v>0</v>
      </c>
      <c r="AP79">
        <v>1</v>
      </c>
      <c r="AQ79">
        <v>0</v>
      </c>
      <c r="AR79">
        <v>0</v>
      </c>
      <c r="AS79" t="s">
        <v>3</v>
      </c>
      <c r="AT79">
        <v>29.5</v>
      </c>
      <c r="AU79" t="s">
        <v>3</v>
      </c>
      <c r="AV79">
        <v>0</v>
      </c>
      <c r="AW79">
        <v>2</v>
      </c>
      <c r="AX79">
        <v>94803490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V79">
        <v>0</v>
      </c>
      <c r="CW79">
        <v>0</v>
      </c>
      <c r="CX79">
        <f>ROUND(Y79*Source!I94,9)</f>
        <v>183.9325</v>
      </c>
      <c r="CY79">
        <f t="shared" si="30"/>
        <v>0</v>
      </c>
      <c r="CZ79">
        <f t="shared" si="31"/>
        <v>0</v>
      </c>
      <c r="DA79">
        <f t="shared" si="32"/>
        <v>1</v>
      </c>
      <c r="DB79">
        <f t="shared" si="17"/>
        <v>0</v>
      </c>
      <c r="DC79">
        <f t="shared" si="18"/>
        <v>0</v>
      </c>
      <c r="DD79" t="s">
        <v>3</v>
      </c>
      <c r="DE79" t="s">
        <v>3</v>
      </c>
      <c r="DF79">
        <f>ROUND(ROUND(AE79,2)*CX79,2)</f>
        <v>0</v>
      </c>
      <c r="DG79">
        <f t="shared" si="34"/>
        <v>0</v>
      </c>
      <c r="DH79">
        <f t="shared" si="35"/>
        <v>0</v>
      </c>
      <c r="DI79">
        <f t="shared" si="28"/>
        <v>0</v>
      </c>
      <c r="DJ79">
        <f t="shared" si="36"/>
        <v>0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ROW(Source!A94)</f>
        <v>94</v>
      </c>
      <c r="B80">
        <v>94798619</v>
      </c>
      <c r="C80">
        <v>94799156</v>
      </c>
      <c r="D80">
        <v>37776723</v>
      </c>
      <c r="E80">
        <v>1</v>
      </c>
      <c r="F80">
        <v>1</v>
      </c>
      <c r="G80">
        <v>1</v>
      </c>
      <c r="H80">
        <v>3</v>
      </c>
      <c r="I80" t="s">
        <v>751</v>
      </c>
      <c r="J80" t="s">
        <v>752</v>
      </c>
      <c r="K80" t="s">
        <v>753</v>
      </c>
      <c r="L80">
        <v>1356</v>
      </c>
      <c r="N80">
        <v>1010</v>
      </c>
      <c r="O80" t="s">
        <v>754</v>
      </c>
      <c r="P80" t="s">
        <v>754</v>
      </c>
      <c r="Q80">
        <v>1000</v>
      </c>
      <c r="W80">
        <v>0</v>
      </c>
      <c r="X80">
        <v>-667780082</v>
      </c>
      <c r="Y80">
        <f t="shared" si="16"/>
        <v>1.6E-2</v>
      </c>
      <c r="AA80">
        <v>15570.34</v>
      </c>
      <c r="AB80">
        <v>0</v>
      </c>
      <c r="AC80">
        <v>0</v>
      </c>
      <c r="AD80">
        <v>0</v>
      </c>
      <c r="AE80">
        <v>794</v>
      </c>
      <c r="AF80">
        <v>0</v>
      </c>
      <c r="AG80">
        <v>0</v>
      </c>
      <c r="AH80">
        <v>0</v>
      </c>
      <c r="AI80">
        <v>19.61</v>
      </c>
      <c r="AJ80">
        <v>1</v>
      </c>
      <c r="AK80">
        <v>1</v>
      </c>
      <c r="AL80">
        <v>1</v>
      </c>
      <c r="AM80">
        <v>2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1.6E-2</v>
      </c>
      <c r="AU80" t="s">
        <v>3</v>
      </c>
      <c r="AV80">
        <v>0</v>
      </c>
      <c r="AW80">
        <v>2</v>
      </c>
      <c r="AX80">
        <v>94803491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V80">
        <v>0</v>
      </c>
      <c r="CW80">
        <v>0</v>
      </c>
      <c r="CX80">
        <f>ROUND(Y80*Source!I94,9)</f>
        <v>9.9760000000000001E-2</v>
      </c>
      <c r="CY80">
        <f t="shared" si="30"/>
        <v>15570.34</v>
      </c>
      <c r="CZ80">
        <f t="shared" si="31"/>
        <v>794</v>
      </c>
      <c r="DA80">
        <f t="shared" si="32"/>
        <v>19.61</v>
      </c>
      <c r="DB80">
        <f t="shared" si="17"/>
        <v>12.7</v>
      </c>
      <c r="DC80">
        <f t="shared" si="18"/>
        <v>0</v>
      </c>
      <c r="DD80" t="s">
        <v>3</v>
      </c>
      <c r="DE80" t="s">
        <v>3</v>
      </c>
      <c r="DF80">
        <f>ROUND(ROUND(AE80*AI80,2)*CX80,2)</f>
        <v>1553.3</v>
      </c>
      <c r="DG80">
        <f t="shared" si="34"/>
        <v>0</v>
      </c>
      <c r="DH80">
        <f t="shared" si="35"/>
        <v>0</v>
      </c>
      <c r="DI80">
        <f t="shared" si="28"/>
        <v>0</v>
      </c>
      <c r="DJ80">
        <f t="shared" si="36"/>
        <v>1553.3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ROW(Source!A102)</f>
        <v>102</v>
      </c>
      <c r="B81">
        <v>94798619</v>
      </c>
      <c r="C81">
        <v>94799541</v>
      </c>
      <c r="D81">
        <v>23129805</v>
      </c>
      <c r="E81">
        <v>1</v>
      </c>
      <c r="F81">
        <v>1</v>
      </c>
      <c r="G81">
        <v>1</v>
      </c>
      <c r="H81">
        <v>1</v>
      </c>
      <c r="I81" t="s">
        <v>703</v>
      </c>
      <c r="J81" t="s">
        <v>3</v>
      </c>
      <c r="K81" t="s">
        <v>704</v>
      </c>
      <c r="L81">
        <v>1369</v>
      </c>
      <c r="N81">
        <v>1013</v>
      </c>
      <c r="O81" t="s">
        <v>696</v>
      </c>
      <c r="P81" t="s">
        <v>696</v>
      </c>
      <c r="Q81">
        <v>1</v>
      </c>
      <c r="W81">
        <v>0</v>
      </c>
      <c r="X81">
        <v>756115135</v>
      </c>
      <c r="Y81">
        <f t="shared" si="16"/>
        <v>35.64</v>
      </c>
      <c r="AA81">
        <v>0</v>
      </c>
      <c r="AB81">
        <v>0</v>
      </c>
      <c r="AC81">
        <v>0</v>
      </c>
      <c r="AD81">
        <v>7.97</v>
      </c>
      <c r="AE81">
        <v>0</v>
      </c>
      <c r="AF81">
        <v>0</v>
      </c>
      <c r="AG81">
        <v>0</v>
      </c>
      <c r="AH81">
        <v>7.97</v>
      </c>
      <c r="AI81">
        <v>1</v>
      </c>
      <c r="AJ81">
        <v>1</v>
      </c>
      <c r="AK81">
        <v>1</v>
      </c>
      <c r="AL81">
        <v>1</v>
      </c>
      <c r="AM81">
        <v>-2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35.64</v>
      </c>
      <c r="AU81" t="s">
        <v>3</v>
      </c>
      <c r="AV81">
        <v>1</v>
      </c>
      <c r="AW81">
        <v>2</v>
      </c>
      <c r="AX81">
        <v>94799542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U81">
        <f>ROUND(AT81*Source!I102*AH81*AL81,2)</f>
        <v>5.68</v>
      </c>
      <c r="CV81">
        <f>ROUND(Y81*Source!I102,9)</f>
        <v>0.71279999999999999</v>
      </c>
      <c r="CW81">
        <v>0</v>
      </c>
      <c r="CX81">
        <f>ROUND(Y81*Source!I102,9)</f>
        <v>0.71279999999999999</v>
      </c>
      <c r="CY81">
        <f>AD81</f>
        <v>7.97</v>
      </c>
      <c r="CZ81">
        <f>AH81</f>
        <v>7.97</v>
      </c>
      <c r="DA81">
        <f>AL81</f>
        <v>1</v>
      </c>
      <c r="DB81">
        <f t="shared" si="17"/>
        <v>284.05</v>
      </c>
      <c r="DC81">
        <f t="shared" si="18"/>
        <v>0</v>
      </c>
      <c r="DD81" t="s">
        <v>3</v>
      </c>
      <c r="DE81" t="s">
        <v>3</v>
      </c>
      <c r="DF81">
        <f>ROUND(ROUND(AE81,2)*CX81,2)</f>
        <v>0</v>
      </c>
      <c r="DG81">
        <f t="shared" si="34"/>
        <v>0</v>
      </c>
      <c r="DH81">
        <f t="shared" si="35"/>
        <v>0</v>
      </c>
      <c r="DI81">
        <f t="shared" si="28"/>
        <v>5.68</v>
      </c>
      <c r="DJ81">
        <f>DI81</f>
        <v>5.68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ROW(Source!A102)</f>
        <v>102</v>
      </c>
      <c r="B82">
        <v>94798619</v>
      </c>
      <c r="C82">
        <v>94799541</v>
      </c>
      <c r="D82">
        <v>121548</v>
      </c>
      <c r="E82">
        <v>1</v>
      </c>
      <c r="F82">
        <v>1</v>
      </c>
      <c r="G82">
        <v>1</v>
      </c>
      <c r="H82">
        <v>1</v>
      </c>
      <c r="I82" t="s">
        <v>28</v>
      </c>
      <c r="J82" t="s">
        <v>3</v>
      </c>
      <c r="K82" t="s">
        <v>705</v>
      </c>
      <c r="L82">
        <v>608254</v>
      </c>
      <c r="N82">
        <v>1013</v>
      </c>
      <c r="O82" t="s">
        <v>706</v>
      </c>
      <c r="P82" t="s">
        <v>706</v>
      </c>
      <c r="Q82">
        <v>1</v>
      </c>
      <c r="W82">
        <v>0</v>
      </c>
      <c r="X82">
        <v>-185737400</v>
      </c>
      <c r="Y82">
        <f t="shared" si="16"/>
        <v>21.67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M82">
        <v>-2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21.67</v>
      </c>
      <c r="AU82" t="s">
        <v>3</v>
      </c>
      <c r="AV82">
        <v>2</v>
      </c>
      <c r="AW82">
        <v>2</v>
      </c>
      <c r="AX82">
        <v>94799543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V82">
        <v>0</v>
      </c>
      <c r="CW82">
        <v>0</v>
      </c>
      <c r="CX82">
        <f>ROUND(Y82*Source!I102,9)</f>
        <v>0.43340000000000001</v>
      </c>
      <c r="CY82">
        <f>AD82</f>
        <v>0</v>
      </c>
      <c r="CZ82">
        <f>AH82</f>
        <v>0</v>
      </c>
      <c r="DA82">
        <f>AL82</f>
        <v>1</v>
      </c>
      <c r="DB82">
        <f t="shared" si="17"/>
        <v>0</v>
      </c>
      <c r="DC82">
        <f t="shared" si="18"/>
        <v>0</v>
      </c>
      <c r="DD82" t="s">
        <v>3</v>
      </c>
      <c r="DE82" t="s">
        <v>3</v>
      </c>
      <c r="DF82">
        <f>ROUND(ROUND(AE82,2)*CX82,2)</f>
        <v>0</v>
      </c>
      <c r="DG82">
        <f t="shared" si="34"/>
        <v>0</v>
      </c>
      <c r="DH82">
        <f t="shared" si="35"/>
        <v>0</v>
      </c>
      <c r="DI82">
        <f t="shared" si="28"/>
        <v>0</v>
      </c>
      <c r="DJ82">
        <f>DI82</f>
        <v>0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ROW(Source!A102)</f>
        <v>102</v>
      </c>
      <c r="B83">
        <v>94798619</v>
      </c>
      <c r="C83">
        <v>94799541</v>
      </c>
      <c r="D83">
        <v>37802953</v>
      </c>
      <c r="E83">
        <v>1</v>
      </c>
      <c r="F83">
        <v>1</v>
      </c>
      <c r="G83">
        <v>1</v>
      </c>
      <c r="H83">
        <v>2</v>
      </c>
      <c r="I83" t="s">
        <v>707</v>
      </c>
      <c r="J83" t="s">
        <v>708</v>
      </c>
      <c r="K83" t="s">
        <v>709</v>
      </c>
      <c r="L83">
        <v>1368</v>
      </c>
      <c r="N83">
        <v>1011</v>
      </c>
      <c r="O83" t="s">
        <v>700</v>
      </c>
      <c r="P83" t="s">
        <v>700</v>
      </c>
      <c r="Q83">
        <v>1</v>
      </c>
      <c r="W83">
        <v>0</v>
      </c>
      <c r="X83">
        <v>-1484005730</v>
      </c>
      <c r="Y83">
        <f t="shared" si="16"/>
        <v>10.74</v>
      </c>
      <c r="AA83">
        <v>0</v>
      </c>
      <c r="AB83">
        <v>1532.79</v>
      </c>
      <c r="AC83">
        <v>426.77</v>
      </c>
      <c r="AD83">
        <v>0</v>
      </c>
      <c r="AE83">
        <v>0</v>
      </c>
      <c r="AF83">
        <v>189</v>
      </c>
      <c r="AG83">
        <v>12.1</v>
      </c>
      <c r="AH83">
        <v>0</v>
      </c>
      <c r="AI83">
        <v>1</v>
      </c>
      <c r="AJ83">
        <v>8.11</v>
      </c>
      <c r="AK83">
        <v>35.270000000000003</v>
      </c>
      <c r="AL83">
        <v>1</v>
      </c>
      <c r="AM83">
        <v>2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10.74</v>
      </c>
      <c r="AU83" t="s">
        <v>3</v>
      </c>
      <c r="AV83">
        <v>0</v>
      </c>
      <c r="AW83">
        <v>2</v>
      </c>
      <c r="AX83">
        <v>94799544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V83">
        <v>0</v>
      </c>
      <c r="CW83">
        <f>ROUND(Y83*Source!I102*DO83,9)</f>
        <v>0</v>
      </c>
      <c r="CX83">
        <f>ROUND(Y83*Source!I102,9)</f>
        <v>0.21479999999999999</v>
      </c>
      <c r="CY83">
        <f>AB83</f>
        <v>1532.79</v>
      </c>
      <c r="CZ83">
        <f>AF83</f>
        <v>189</v>
      </c>
      <c r="DA83">
        <f>AJ83</f>
        <v>8.11</v>
      </c>
      <c r="DB83">
        <f t="shared" si="17"/>
        <v>2029.86</v>
      </c>
      <c r="DC83">
        <f t="shared" si="18"/>
        <v>129.94999999999999</v>
      </c>
      <c r="DD83" t="s">
        <v>3</v>
      </c>
      <c r="DE83" t="s">
        <v>3</v>
      </c>
      <c r="DF83">
        <f>ROUND(ROUND(AE83,2)*CX83,2)</f>
        <v>0</v>
      </c>
      <c r="DG83">
        <f>ROUND(ROUND(AF83*AJ83,2)*CX83,2)</f>
        <v>329.24</v>
      </c>
      <c r="DH83">
        <f>ROUND(ROUND(AG83*AK83,2)*CX83,2)</f>
        <v>91.67</v>
      </c>
      <c r="DI83">
        <f t="shared" si="28"/>
        <v>0</v>
      </c>
      <c r="DJ83">
        <f>DG83</f>
        <v>329.24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ROW(Source!A102)</f>
        <v>102</v>
      </c>
      <c r="B84">
        <v>94798619</v>
      </c>
      <c r="C84">
        <v>94799541</v>
      </c>
      <c r="D84">
        <v>37803498</v>
      </c>
      <c r="E84">
        <v>1</v>
      </c>
      <c r="F84">
        <v>1</v>
      </c>
      <c r="G84">
        <v>1</v>
      </c>
      <c r="H84">
        <v>2</v>
      </c>
      <c r="I84" t="s">
        <v>710</v>
      </c>
      <c r="J84" t="s">
        <v>711</v>
      </c>
      <c r="K84" t="s">
        <v>712</v>
      </c>
      <c r="L84">
        <v>1368</v>
      </c>
      <c r="N84">
        <v>1011</v>
      </c>
      <c r="O84" t="s">
        <v>700</v>
      </c>
      <c r="P84" t="s">
        <v>700</v>
      </c>
      <c r="Q84">
        <v>1</v>
      </c>
      <c r="W84">
        <v>0</v>
      </c>
      <c r="X84">
        <v>365905357</v>
      </c>
      <c r="Y84">
        <f t="shared" si="16"/>
        <v>10.93</v>
      </c>
      <c r="AA84">
        <v>0</v>
      </c>
      <c r="AB84">
        <v>2147.73</v>
      </c>
      <c r="AC84">
        <v>365.04</v>
      </c>
      <c r="AD84">
        <v>0</v>
      </c>
      <c r="AE84">
        <v>0</v>
      </c>
      <c r="AF84">
        <v>123.86</v>
      </c>
      <c r="AG84">
        <v>10.35</v>
      </c>
      <c r="AH84">
        <v>0</v>
      </c>
      <c r="AI84">
        <v>1</v>
      </c>
      <c r="AJ84">
        <v>17.34</v>
      </c>
      <c r="AK84">
        <v>35.270000000000003</v>
      </c>
      <c r="AL84">
        <v>1</v>
      </c>
      <c r="AM84">
        <v>2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10.93</v>
      </c>
      <c r="AU84" t="s">
        <v>3</v>
      </c>
      <c r="AV84">
        <v>0</v>
      </c>
      <c r="AW84">
        <v>2</v>
      </c>
      <c r="AX84">
        <v>94799545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V84">
        <v>0</v>
      </c>
      <c r="CW84">
        <f>ROUND(Y84*Source!I102*DO84,9)</f>
        <v>0</v>
      </c>
      <c r="CX84">
        <f>ROUND(Y84*Source!I102,9)</f>
        <v>0.21859999999999999</v>
      </c>
      <c r="CY84">
        <f>AB84</f>
        <v>2147.73</v>
      </c>
      <c r="CZ84">
        <f>AF84</f>
        <v>123.86</v>
      </c>
      <c r="DA84">
        <f>AJ84</f>
        <v>17.34</v>
      </c>
      <c r="DB84">
        <f t="shared" si="17"/>
        <v>1353.79</v>
      </c>
      <c r="DC84">
        <f t="shared" si="18"/>
        <v>113.13</v>
      </c>
      <c r="DD84" t="s">
        <v>3</v>
      </c>
      <c r="DE84" t="s">
        <v>3</v>
      </c>
      <c r="DF84">
        <f>ROUND(ROUND(AE84,2)*CX84,2)</f>
        <v>0</v>
      </c>
      <c r="DG84">
        <f>ROUND(ROUND(AF84*AJ84,2)*CX84,2)</f>
        <v>469.49</v>
      </c>
      <c r="DH84">
        <f>ROUND(ROUND(AG84*AK84,2)*CX84,2)</f>
        <v>79.8</v>
      </c>
      <c r="DI84">
        <f t="shared" si="28"/>
        <v>0</v>
      </c>
      <c r="DJ84">
        <f>DG84</f>
        <v>469.49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ROW(Source!A102)</f>
        <v>102</v>
      </c>
      <c r="B85">
        <v>94798619</v>
      </c>
      <c r="C85">
        <v>94799541</v>
      </c>
      <c r="D85">
        <v>37804456</v>
      </c>
      <c r="E85">
        <v>1</v>
      </c>
      <c r="F85">
        <v>1</v>
      </c>
      <c r="G85">
        <v>1</v>
      </c>
      <c r="H85">
        <v>2</v>
      </c>
      <c r="I85" t="s">
        <v>713</v>
      </c>
      <c r="J85" t="s">
        <v>714</v>
      </c>
      <c r="K85" t="s">
        <v>715</v>
      </c>
      <c r="L85">
        <v>1368</v>
      </c>
      <c r="N85">
        <v>1011</v>
      </c>
      <c r="O85" t="s">
        <v>700</v>
      </c>
      <c r="P85" t="s">
        <v>700</v>
      </c>
      <c r="Q85">
        <v>1</v>
      </c>
      <c r="W85">
        <v>0</v>
      </c>
      <c r="X85">
        <v>-671646184</v>
      </c>
      <c r="Y85">
        <f t="shared" si="16"/>
        <v>0.81</v>
      </c>
      <c r="AA85">
        <v>0</v>
      </c>
      <c r="AB85">
        <v>1305.74</v>
      </c>
      <c r="AC85">
        <v>365.04</v>
      </c>
      <c r="AD85">
        <v>0</v>
      </c>
      <c r="AE85">
        <v>0</v>
      </c>
      <c r="AF85">
        <v>91.76</v>
      </c>
      <c r="AG85">
        <v>10.35</v>
      </c>
      <c r="AH85">
        <v>0</v>
      </c>
      <c r="AI85">
        <v>1</v>
      </c>
      <c r="AJ85">
        <v>14.23</v>
      </c>
      <c r="AK85">
        <v>35.270000000000003</v>
      </c>
      <c r="AL85">
        <v>1</v>
      </c>
      <c r="AM85">
        <v>2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0.81</v>
      </c>
      <c r="AU85" t="s">
        <v>3</v>
      </c>
      <c r="AV85">
        <v>0</v>
      </c>
      <c r="AW85">
        <v>2</v>
      </c>
      <c r="AX85">
        <v>94799546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V85">
        <v>0</v>
      </c>
      <c r="CW85">
        <f>ROUND(Y85*Source!I102*DO85,9)</f>
        <v>0</v>
      </c>
      <c r="CX85">
        <f>ROUND(Y85*Source!I102,9)</f>
        <v>1.6199999999999999E-2</v>
      </c>
      <c r="CY85">
        <f>AB85</f>
        <v>1305.74</v>
      </c>
      <c r="CZ85">
        <f>AF85</f>
        <v>91.76</v>
      </c>
      <c r="DA85">
        <f>AJ85</f>
        <v>14.23</v>
      </c>
      <c r="DB85">
        <f t="shared" si="17"/>
        <v>74.33</v>
      </c>
      <c r="DC85">
        <f t="shared" si="18"/>
        <v>8.3800000000000008</v>
      </c>
      <c r="DD85" t="s">
        <v>3</v>
      </c>
      <c r="DE85" t="s">
        <v>3</v>
      </c>
      <c r="DF85">
        <f>ROUND(ROUND(AE85,2)*CX85,2)</f>
        <v>0</v>
      </c>
      <c r="DG85">
        <f>ROUND(ROUND(AF85*AJ85,2)*CX85,2)</f>
        <v>21.15</v>
      </c>
      <c r="DH85">
        <f>ROUND(ROUND(AG85*AK85,2)*CX85,2)</f>
        <v>5.91</v>
      </c>
      <c r="DI85">
        <f t="shared" si="28"/>
        <v>0</v>
      </c>
      <c r="DJ85">
        <f>DG85</f>
        <v>21.15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ROW(Source!A102)</f>
        <v>102</v>
      </c>
      <c r="B86">
        <v>94798619</v>
      </c>
      <c r="C86">
        <v>94799541</v>
      </c>
      <c r="D86">
        <v>37751670</v>
      </c>
      <c r="E86">
        <v>1</v>
      </c>
      <c r="F86">
        <v>1</v>
      </c>
      <c r="G86">
        <v>1</v>
      </c>
      <c r="H86">
        <v>3</v>
      </c>
      <c r="I86" t="s">
        <v>716</v>
      </c>
      <c r="J86" t="s">
        <v>717</v>
      </c>
      <c r="K86" t="s">
        <v>718</v>
      </c>
      <c r="L86">
        <v>1301</v>
      </c>
      <c r="N86">
        <v>1003</v>
      </c>
      <c r="O86" t="s">
        <v>368</v>
      </c>
      <c r="P86" t="s">
        <v>368</v>
      </c>
      <c r="Q86">
        <v>1</v>
      </c>
      <c r="W86">
        <v>0</v>
      </c>
      <c r="X86">
        <v>723599891</v>
      </c>
      <c r="Y86">
        <f t="shared" si="16"/>
        <v>55.9</v>
      </c>
      <c r="AA86">
        <v>43.74</v>
      </c>
      <c r="AB86">
        <v>0</v>
      </c>
      <c r="AC86">
        <v>0</v>
      </c>
      <c r="AD86">
        <v>0</v>
      </c>
      <c r="AE86">
        <v>4.2300000000000004</v>
      </c>
      <c r="AF86">
        <v>0</v>
      </c>
      <c r="AG86">
        <v>0</v>
      </c>
      <c r="AH86">
        <v>0</v>
      </c>
      <c r="AI86">
        <v>10.34</v>
      </c>
      <c r="AJ86">
        <v>1</v>
      </c>
      <c r="AK86">
        <v>1</v>
      </c>
      <c r="AL86">
        <v>1</v>
      </c>
      <c r="AM86">
        <v>2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55.9</v>
      </c>
      <c r="AU86" t="s">
        <v>3</v>
      </c>
      <c r="AV86">
        <v>0</v>
      </c>
      <c r="AW86">
        <v>2</v>
      </c>
      <c r="AX86">
        <v>94799547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V86">
        <v>0</v>
      </c>
      <c r="CW86">
        <v>0</v>
      </c>
      <c r="CX86">
        <f>ROUND(Y86*Source!I102,9)</f>
        <v>1.1180000000000001</v>
      </c>
      <c r="CY86">
        <f>AA86</f>
        <v>43.74</v>
      </c>
      <c r="CZ86">
        <f>AE86</f>
        <v>4.2300000000000004</v>
      </c>
      <c r="DA86">
        <f>AI86</f>
        <v>10.34</v>
      </c>
      <c r="DB86">
        <f t="shared" si="17"/>
        <v>236.46</v>
      </c>
      <c r="DC86">
        <f t="shared" si="18"/>
        <v>0</v>
      </c>
      <c r="DD86" t="s">
        <v>3</v>
      </c>
      <c r="DE86" t="s">
        <v>3</v>
      </c>
      <c r="DF86">
        <f>ROUND(ROUND(AE86*AI86,2)*CX86,2)</f>
        <v>48.9</v>
      </c>
      <c r="DG86">
        <f>ROUND(ROUND(AF86,2)*CX86,2)</f>
        <v>0</v>
      </c>
      <c r="DH86">
        <f>ROUND(ROUND(AG86,2)*CX86,2)</f>
        <v>0</v>
      </c>
      <c r="DI86">
        <f t="shared" si="28"/>
        <v>0</v>
      </c>
      <c r="DJ86">
        <f>DF86</f>
        <v>48.9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ROW(Source!A102)</f>
        <v>102</v>
      </c>
      <c r="B87">
        <v>94798619</v>
      </c>
      <c r="C87">
        <v>94799541</v>
      </c>
      <c r="D87">
        <v>37751161</v>
      </c>
      <c r="E87">
        <v>1</v>
      </c>
      <c r="F87">
        <v>1</v>
      </c>
      <c r="G87">
        <v>1</v>
      </c>
      <c r="H87">
        <v>3</v>
      </c>
      <c r="I87" t="s">
        <v>45</v>
      </c>
      <c r="J87" t="s">
        <v>48</v>
      </c>
      <c r="K87" t="s">
        <v>46</v>
      </c>
      <c r="L87">
        <v>1354</v>
      </c>
      <c r="N87">
        <v>1010</v>
      </c>
      <c r="O87" t="s">
        <v>47</v>
      </c>
      <c r="P87" t="s">
        <v>47</v>
      </c>
      <c r="Q87">
        <v>1</v>
      </c>
      <c r="W87">
        <v>0</v>
      </c>
      <c r="X87">
        <v>-138700279</v>
      </c>
      <c r="Y87">
        <f t="shared" si="16"/>
        <v>100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M87">
        <v>0</v>
      </c>
      <c r="AN87">
        <v>0</v>
      </c>
      <c r="AO87">
        <v>0</v>
      </c>
      <c r="AP87">
        <v>1</v>
      </c>
      <c r="AQ87">
        <v>0</v>
      </c>
      <c r="AR87">
        <v>0</v>
      </c>
      <c r="AS87" t="s">
        <v>3</v>
      </c>
      <c r="AT87">
        <v>100</v>
      </c>
      <c r="AU87" t="s">
        <v>3</v>
      </c>
      <c r="AV87">
        <v>0</v>
      </c>
      <c r="AW87">
        <v>2</v>
      </c>
      <c r="AX87">
        <v>94799548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V87">
        <v>0</v>
      </c>
      <c r="CW87">
        <v>0</v>
      </c>
      <c r="CX87">
        <f>ROUND(Y87*Source!I102,9)</f>
        <v>2</v>
      </c>
      <c r="CY87">
        <f>AA87</f>
        <v>0</v>
      </c>
      <c r="CZ87">
        <f>AE87</f>
        <v>0</v>
      </c>
      <c r="DA87">
        <f>AI87</f>
        <v>1</v>
      </c>
      <c r="DB87">
        <f t="shared" si="17"/>
        <v>0</v>
      </c>
      <c r="DC87">
        <f t="shared" si="18"/>
        <v>0</v>
      </c>
      <c r="DD87" t="s">
        <v>3</v>
      </c>
      <c r="DE87" t="s">
        <v>3</v>
      </c>
      <c r="DF87">
        <f t="shared" ref="DF87:DF98" si="37">ROUND(ROUND(AE87,2)*CX87,2)</f>
        <v>0</v>
      </c>
      <c r="DG87">
        <f>ROUND(ROUND(AF87,2)*CX87,2)</f>
        <v>0</v>
      </c>
      <c r="DH87">
        <f>ROUND(ROUND(AG87,2)*CX87,2)</f>
        <v>0</v>
      </c>
      <c r="DI87">
        <f t="shared" si="28"/>
        <v>0</v>
      </c>
      <c r="DJ87">
        <f>DF87</f>
        <v>0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ROW(Source!A102)</f>
        <v>102</v>
      </c>
      <c r="B88">
        <v>94798619</v>
      </c>
      <c r="C88">
        <v>94799541</v>
      </c>
      <c r="D88">
        <v>37767799</v>
      </c>
      <c r="E88">
        <v>1</v>
      </c>
      <c r="F88">
        <v>1</v>
      </c>
      <c r="G88">
        <v>1</v>
      </c>
      <c r="H88">
        <v>3</v>
      </c>
      <c r="I88" t="s">
        <v>50</v>
      </c>
      <c r="J88" t="s">
        <v>53</v>
      </c>
      <c r="K88" t="s">
        <v>51</v>
      </c>
      <c r="L88">
        <v>1339</v>
      </c>
      <c r="N88">
        <v>1007</v>
      </c>
      <c r="O88" t="s">
        <v>52</v>
      </c>
      <c r="P88" t="s">
        <v>52</v>
      </c>
      <c r="Q88">
        <v>1</v>
      </c>
      <c r="W88">
        <v>0</v>
      </c>
      <c r="X88">
        <v>-255290429</v>
      </c>
      <c r="Y88">
        <f t="shared" si="16"/>
        <v>6.34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M88">
        <v>0</v>
      </c>
      <c r="AN88">
        <v>0</v>
      </c>
      <c r="AO88">
        <v>0</v>
      </c>
      <c r="AP88">
        <v>1</v>
      </c>
      <c r="AQ88">
        <v>0</v>
      </c>
      <c r="AR88">
        <v>0</v>
      </c>
      <c r="AS88" t="s">
        <v>3</v>
      </c>
      <c r="AT88">
        <v>6.34</v>
      </c>
      <c r="AU88" t="s">
        <v>3</v>
      </c>
      <c r="AV88">
        <v>0</v>
      </c>
      <c r="AW88">
        <v>2</v>
      </c>
      <c r="AX88">
        <v>94799549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V88">
        <v>0</v>
      </c>
      <c r="CW88">
        <v>0</v>
      </c>
      <c r="CX88">
        <f>ROUND(Y88*Source!I102,9)</f>
        <v>0.1268</v>
      </c>
      <c r="CY88">
        <f>AA88</f>
        <v>0</v>
      </c>
      <c r="CZ88">
        <f>AE88</f>
        <v>0</v>
      </c>
      <c r="DA88">
        <f>AI88</f>
        <v>1</v>
      </c>
      <c r="DB88">
        <f t="shared" si="17"/>
        <v>0</v>
      </c>
      <c r="DC88">
        <f t="shared" si="18"/>
        <v>0</v>
      </c>
      <c r="DD88" t="s">
        <v>3</v>
      </c>
      <c r="DE88" t="s">
        <v>3</v>
      </c>
      <c r="DF88">
        <f t="shared" si="37"/>
        <v>0</v>
      </c>
      <c r="DG88">
        <f>ROUND(ROUND(AF88,2)*CX88,2)</f>
        <v>0</v>
      </c>
      <c r="DH88">
        <f>ROUND(ROUND(AG88,2)*CX88,2)</f>
        <v>0</v>
      </c>
      <c r="DI88">
        <f t="shared" si="28"/>
        <v>0</v>
      </c>
      <c r="DJ88">
        <f>DF88</f>
        <v>0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ROW(Source!A107)</f>
        <v>107</v>
      </c>
      <c r="B89">
        <v>94798619</v>
      </c>
      <c r="C89">
        <v>94799554</v>
      </c>
      <c r="D89">
        <v>23351395</v>
      </c>
      <c r="E89">
        <v>1</v>
      </c>
      <c r="F89">
        <v>1</v>
      </c>
      <c r="G89">
        <v>1</v>
      </c>
      <c r="H89">
        <v>1</v>
      </c>
      <c r="I89" t="s">
        <v>786</v>
      </c>
      <c r="J89" t="s">
        <v>3</v>
      </c>
      <c r="K89" t="s">
        <v>787</v>
      </c>
      <c r="L89">
        <v>1369</v>
      </c>
      <c r="N89">
        <v>1013</v>
      </c>
      <c r="O89" t="s">
        <v>696</v>
      </c>
      <c r="P89" t="s">
        <v>696</v>
      </c>
      <c r="Q89">
        <v>1</v>
      </c>
      <c r="W89">
        <v>0</v>
      </c>
      <c r="X89">
        <v>1072260845</v>
      </c>
      <c r="Y89">
        <f t="shared" si="16"/>
        <v>120</v>
      </c>
      <c r="AA89">
        <v>0</v>
      </c>
      <c r="AB89">
        <v>0</v>
      </c>
      <c r="AC89">
        <v>0</v>
      </c>
      <c r="AD89">
        <v>8.99</v>
      </c>
      <c r="AE89">
        <v>0</v>
      </c>
      <c r="AF89">
        <v>0</v>
      </c>
      <c r="AG89">
        <v>0</v>
      </c>
      <c r="AH89">
        <v>8.99</v>
      </c>
      <c r="AI89">
        <v>1</v>
      </c>
      <c r="AJ89">
        <v>1</v>
      </c>
      <c r="AK89">
        <v>1</v>
      </c>
      <c r="AL89">
        <v>1</v>
      </c>
      <c r="AM89">
        <v>-2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120</v>
      </c>
      <c r="AU89" t="s">
        <v>3</v>
      </c>
      <c r="AV89">
        <v>1</v>
      </c>
      <c r="AW89">
        <v>2</v>
      </c>
      <c r="AX89">
        <v>94799555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U89">
        <f>ROUND(AT89*Source!I107*AH89*AL89,2)</f>
        <v>251.36</v>
      </c>
      <c r="CV89">
        <f>ROUND(Y89*Source!I107,9)</f>
        <v>27.96</v>
      </c>
      <c r="CW89">
        <v>0</v>
      </c>
      <c r="CX89">
        <f>ROUND(Y89*Source!I107,9)</f>
        <v>27.96</v>
      </c>
      <c r="CY89">
        <f>AD89</f>
        <v>8.99</v>
      </c>
      <c r="CZ89">
        <f>AH89</f>
        <v>8.99</v>
      </c>
      <c r="DA89">
        <f>AL89</f>
        <v>1</v>
      </c>
      <c r="DB89">
        <f t="shared" si="17"/>
        <v>1078.8</v>
      </c>
      <c r="DC89">
        <f t="shared" si="18"/>
        <v>0</v>
      </c>
      <c r="DD89" t="s">
        <v>3</v>
      </c>
      <c r="DE89" t="s">
        <v>3</v>
      </c>
      <c r="DF89">
        <f t="shared" si="37"/>
        <v>0</v>
      </c>
      <c r="DG89">
        <f>ROUND(ROUND(AF89,2)*CX89,2)</f>
        <v>0</v>
      </c>
      <c r="DH89">
        <f>ROUND(ROUND(AG89,2)*CX89,2)</f>
        <v>0</v>
      </c>
      <c r="DI89">
        <f t="shared" si="28"/>
        <v>251.36</v>
      </c>
      <c r="DJ89">
        <f>DI89</f>
        <v>251.36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ROW(Source!A107)</f>
        <v>107</v>
      </c>
      <c r="B90">
        <v>94798619</v>
      </c>
      <c r="C90">
        <v>94799554</v>
      </c>
      <c r="D90">
        <v>121548</v>
      </c>
      <c r="E90">
        <v>1</v>
      </c>
      <c r="F90">
        <v>1</v>
      </c>
      <c r="G90">
        <v>1</v>
      </c>
      <c r="H90">
        <v>1</v>
      </c>
      <c r="I90" t="s">
        <v>28</v>
      </c>
      <c r="J90" t="s">
        <v>3</v>
      </c>
      <c r="K90" t="s">
        <v>705</v>
      </c>
      <c r="L90">
        <v>608254</v>
      </c>
      <c r="N90">
        <v>1013</v>
      </c>
      <c r="O90" t="s">
        <v>706</v>
      </c>
      <c r="P90" t="s">
        <v>706</v>
      </c>
      <c r="Q90">
        <v>1</v>
      </c>
      <c r="W90">
        <v>0</v>
      </c>
      <c r="X90">
        <v>-185737400</v>
      </c>
      <c r="Y90">
        <f t="shared" si="16"/>
        <v>1.34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M90">
        <v>-2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1.34</v>
      </c>
      <c r="AU90" t="s">
        <v>3</v>
      </c>
      <c r="AV90">
        <v>2</v>
      </c>
      <c r="AW90">
        <v>2</v>
      </c>
      <c r="AX90">
        <v>94799556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V90">
        <v>0</v>
      </c>
      <c r="CW90">
        <v>0</v>
      </c>
      <c r="CX90">
        <f>ROUND(Y90*Source!I107,9)</f>
        <v>0.31222</v>
      </c>
      <c r="CY90">
        <f>AD90</f>
        <v>0</v>
      </c>
      <c r="CZ90">
        <f>AH90</f>
        <v>0</v>
      </c>
      <c r="DA90">
        <f>AL90</f>
        <v>1</v>
      </c>
      <c r="DB90">
        <f t="shared" si="17"/>
        <v>0</v>
      </c>
      <c r="DC90">
        <f t="shared" si="18"/>
        <v>0</v>
      </c>
      <c r="DD90" t="s">
        <v>3</v>
      </c>
      <c r="DE90" t="s">
        <v>3</v>
      </c>
      <c r="DF90">
        <f t="shared" si="37"/>
        <v>0</v>
      </c>
      <c r="DG90">
        <f>ROUND(ROUND(AF90,2)*CX90,2)</f>
        <v>0</v>
      </c>
      <c r="DH90">
        <f>ROUND(ROUND(AG90,2)*CX90,2)</f>
        <v>0</v>
      </c>
      <c r="DI90">
        <f t="shared" si="28"/>
        <v>0</v>
      </c>
      <c r="DJ90">
        <f>DI90</f>
        <v>0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ROW(Source!A107)</f>
        <v>107</v>
      </c>
      <c r="B91">
        <v>94798619</v>
      </c>
      <c r="C91">
        <v>94799554</v>
      </c>
      <c r="D91">
        <v>37802432</v>
      </c>
      <c r="E91">
        <v>1</v>
      </c>
      <c r="F91">
        <v>1</v>
      </c>
      <c r="G91">
        <v>1</v>
      </c>
      <c r="H91">
        <v>2</v>
      </c>
      <c r="I91" t="s">
        <v>788</v>
      </c>
      <c r="J91" t="s">
        <v>789</v>
      </c>
      <c r="K91" t="s">
        <v>790</v>
      </c>
      <c r="L91">
        <v>1368</v>
      </c>
      <c r="N91">
        <v>1011</v>
      </c>
      <c r="O91" t="s">
        <v>700</v>
      </c>
      <c r="P91" t="s">
        <v>700</v>
      </c>
      <c r="Q91">
        <v>1</v>
      </c>
      <c r="W91">
        <v>0</v>
      </c>
      <c r="X91">
        <v>-1424728221</v>
      </c>
      <c r="Y91">
        <f t="shared" ref="Y91:Y154" si="38">AT91</f>
        <v>0.5</v>
      </c>
      <c r="AA91">
        <v>0</v>
      </c>
      <c r="AB91">
        <v>1471.29</v>
      </c>
      <c r="AC91">
        <v>426.77</v>
      </c>
      <c r="AD91">
        <v>0</v>
      </c>
      <c r="AE91">
        <v>0</v>
      </c>
      <c r="AF91">
        <v>138.54</v>
      </c>
      <c r="AG91">
        <v>12.1</v>
      </c>
      <c r="AH91">
        <v>0</v>
      </c>
      <c r="AI91">
        <v>1</v>
      </c>
      <c r="AJ91">
        <v>10.62</v>
      </c>
      <c r="AK91">
        <v>35.270000000000003</v>
      </c>
      <c r="AL91">
        <v>1</v>
      </c>
      <c r="AM91">
        <v>2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0.5</v>
      </c>
      <c r="AU91" t="s">
        <v>3</v>
      </c>
      <c r="AV91">
        <v>0</v>
      </c>
      <c r="AW91">
        <v>2</v>
      </c>
      <c r="AX91">
        <v>94799557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V91">
        <v>0</v>
      </c>
      <c r="CW91">
        <f>ROUND(Y91*Source!I107*DO91,9)</f>
        <v>0</v>
      </c>
      <c r="CX91">
        <f>ROUND(Y91*Source!I107,9)</f>
        <v>0.11650000000000001</v>
      </c>
      <c r="CY91">
        <f t="shared" ref="CY91:CY98" si="39">AB91</f>
        <v>1471.29</v>
      </c>
      <c r="CZ91">
        <f t="shared" ref="CZ91:CZ98" si="40">AF91</f>
        <v>138.54</v>
      </c>
      <c r="DA91">
        <f t="shared" ref="DA91:DA98" si="41">AJ91</f>
        <v>10.62</v>
      </c>
      <c r="DB91">
        <f t="shared" ref="DB91:DB154" si="42">ROUND(ROUND(AT91*CZ91,2),2)</f>
        <v>69.27</v>
      </c>
      <c r="DC91">
        <f t="shared" ref="DC91:DC154" si="43">ROUND(ROUND(AT91*AG91,2),2)</f>
        <v>6.05</v>
      </c>
      <c r="DD91" t="s">
        <v>3</v>
      </c>
      <c r="DE91" t="s">
        <v>3</v>
      </c>
      <c r="DF91">
        <f t="shared" si="37"/>
        <v>0</v>
      </c>
      <c r="DG91">
        <f t="shared" ref="DG91:DG98" si="44">ROUND(ROUND(AF91*AJ91,2)*CX91,2)</f>
        <v>171.41</v>
      </c>
      <c r="DH91">
        <f t="shared" ref="DH91:DH98" si="45">ROUND(ROUND(AG91*AK91,2)*CX91,2)</f>
        <v>49.72</v>
      </c>
      <c r="DI91">
        <f t="shared" si="28"/>
        <v>0</v>
      </c>
      <c r="DJ91">
        <f t="shared" ref="DJ91:DJ98" si="46">DG91</f>
        <v>171.41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ROW(Source!A107)</f>
        <v>107</v>
      </c>
      <c r="B92">
        <v>94798619</v>
      </c>
      <c r="C92">
        <v>94799554</v>
      </c>
      <c r="D92">
        <v>37802544</v>
      </c>
      <c r="E92">
        <v>1</v>
      </c>
      <c r="F92">
        <v>1</v>
      </c>
      <c r="G92">
        <v>1</v>
      </c>
      <c r="H92">
        <v>2</v>
      </c>
      <c r="I92" t="s">
        <v>791</v>
      </c>
      <c r="J92" t="s">
        <v>792</v>
      </c>
      <c r="K92" t="s">
        <v>793</v>
      </c>
      <c r="L92">
        <v>1368</v>
      </c>
      <c r="N92">
        <v>1011</v>
      </c>
      <c r="O92" t="s">
        <v>700</v>
      </c>
      <c r="P92" t="s">
        <v>700</v>
      </c>
      <c r="Q92">
        <v>1</v>
      </c>
      <c r="W92">
        <v>0</v>
      </c>
      <c r="X92">
        <v>-892985829</v>
      </c>
      <c r="Y92">
        <f t="shared" si="38"/>
        <v>1.37</v>
      </c>
      <c r="AA92">
        <v>0</v>
      </c>
      <c r="AB92">
        <v>37.19</v>
      </c>
      <c r="AC92">
        <v>0</v>
      </c>
      <c r="AD92">
        <v>0</v>
      </c>
      <c r="AE92">
        <v>0</v>
      </c>
      <c r="AF92">
        <v>7.11</v>
      </c>
      <c r="AG92">
        <v>0</v>
      </c>
      <c r="AH92">
        <v>0</v>
      </c>
      <c r="AI92">
        <v>1</v>
      </c>
      <c r="AJ92">
        <v>5.23</v>
      </c>
      <c r="AK92">
        <v>35.270000000000003</v>
      </c>
      <c r="AL92">
        <v>1</v>
      </c>
      <c r="AM92">
        <v>2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1.37</v>
      </c>
      <c r="AU92" t="s">
        <v>3</v>
      </c>
      <c r="AV92">
        <v>0</v>
      </c>
      <c r="AW92">
        <v>2</v>
      </c>
      <c r="AX92">
        <v>94799558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V92">
        <v>0</v>
      </c>
      <c r="CW92">
        <f>ROUND(Y92*Source!I107*DO92,9)</f>
        <v>0</v>
      </c>
      <c r="CX92">
        <f>ROUND(Y92*Source!I107,9)</f>
        <v>0.31920999999999999</v>
      </c>
      <c r="CY92">
        <f t="shared" si="39"/>
        <v>37.19</v>
      </c>
      <c r="CZ92">
        <f t="shared" si="40"/>
        <v>7.11</v>
      </c>
      <c r="DA92">
        <f t="shared" si="41"/>
        <v>5.23</v>
      </c>
      <c r="DB92">
        <f t="shared" si="42"/>
        <v>9.74</v>
      </c>
      <c r="DC92">
        <f t="shared" si="43"/>
        <v>0</v>
      </c>
      <c r="DD92" t="s">
        <v>3</v>
      </c>
      <c r="DE92" t="s">
        <v>3</v>
      </c>
      <c r="DF92">
        <f t="shared" si="37"/>
        <v>0</v>
      </c>
      <c r="DG92">
        <f t="shared" si="44"/>
        <v>11.87</v>
      </c>
      <c r="DH92">
        <f t="shared" si="45"/>
        <v>0</v>
      </c>
      <c r="DI92">
        <f t="shared" si="28"/>
        <v>0</v>
      </c>
      <c r="DJ92">
        <f t="shared" si="46"/>
        <v>11.87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ROW(Source!A107)</f>
        <v>107</v>
      </c>
      <c r="B93">
        <v>94798619</v>
      </c>
      <c r="C93">
        <v>94799554</v>
      </c>
      <c r="D93">
        <v>37802657</v>
      </c>
      <c r="E93">
        <v>1</v>
      </c>
      <c r="F93">
        <v>1</v>
      </c>
      <c r="G93">
        <v>1</v>
      </c>
      <c r="H93">
        <v>2</v>
      </c>
      <c r="I93" t="s">
        <v>794</v>
      </c>
      <c r="J93" t="s">
        <v>795</v>
      </c>
      <c r="K93" t="s">
        <v>796</v>
      </c>
      <c r="L93">
        <v>1368</v>
      </c>
      <c r="N93">
        <v>1011</v>
      </c>
      <c r="O93" t="s">
        <v>700</v>
      </c>
      <c r="P93" t="s">
        <v>700</v>
      </c>
      <c r="Q93">
        <v>1</v>
      </c>
      <c r="W93">
        <v>0</v>
      </c>
      <c r="X93">
        <v>1084334125</v>
      </c>
      <c r="Y93">
        <f t="shared" si="38"/>
        <v>30.3</v>
      </c>
      <c r="AA93">
        <v>0</v>
      </c>
      <c r="AB93">
        <v>51.94</v>
      </c>
      <c r="AC93">
        <v>0</v>
      </c>
      <c r="AD93">
        <v>0</v>
      </c>
      <c r="AE93">
        <v>0</v>
      </c>
      <c r="AF93">
        <v>7.55</v>
      </c>
      <c r="AG93">
        <v>0</v>
      </c>
      <c r="AH93">
        <v>0</v>
      </c>
      <c r="AI93">
        <v>1</v>
      </c>
      <c r="AJ93">
        <v>6.88</v>
      </c>
      <c r="AK93">
        <v>35.270000000000003</v>
      </c>
      <c r="AL93">
        <v>1</v>
      </c>
      <c r="AM93">
        <v>2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30.3</v>
      </c>
      <c r="AU93" t="s">
        <v>3</v>
      </c>
      <c r="AV93">
        <v>0</v>
      </c>
      <c r="AW93">
        <v>2</v>
      </c>
      <c r="AX93">
        <v>94799559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V93">
        <v>0</v>
      </c>
      <c r="CW93">
        <f>ROUND(Y93*Source!I107*DO93,9)</f>
        <v>0</v>
      </c>
      <c r="CX93">
        <f>ROUND(Y93*Source!I107,9)</f>
        <v>7.0598999999999998</v>
      </c>
      <c r="CY93">
        <f t="shared" si="39"/>
        <v>51.94</v>
      </c>
      <c r="CZ93">
        <f t="shared" si="40"/>
        <v>7.55</v>
      </c>
      <c r="DA93">
        <f t="shared" si="41"/>
        <v>6.88</v>
      </c>
      <c r="DB93">
        <f t="shared" si="42"/>
        <v>228.77</v>
      </c>
      <c r="DC93">
        <f t="shared" si="43"/>
        <v>0</v>
      </c>
      <c r="DD93" t="s">
        <v>3</v>
      </c>
      <c r="DE93" t="s">
        <v>3</v>
      </c>
      <c r="DF93">
        <f t="shared" si="37"/>
        <v>0</v>
      </c>
      <c r="DG93">
        <f t="shared" si="44"/>
        <v>366.69</v>
      </c>
      <c r="DH93">
        <f t="shared" si="45"/>
        <v>0</v>
      </c>
      <c r="DI93">
        <f t="shared" si="28"/>
        <v>0</v>
      </c>
      <c r="DJ93">
        <f t="shared" si="46"/>
        <v>366.69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ROW(Source!A107)</f>
        <v>107</v>
      </c>
      <c r="B94">
        <v>94798619</v>
      </c>
      <c r="C94">
        <v>94799554</v>
      </c>
      <c r="D94">
        <v>37802659</v>
      </c>
      <c r="E94">
        <v>1</v>
      </c>
      <c r="F94">
        <v>1</v>
      </c>
      <c r="G94">
        <v>1</v>
      </c>
      <c r="H94">
        <v>2</v>
      </c>
      <c r="I94" t="s">
        <v>777</v>
      </c>
      <c r="J94" t="s">
        <v>778</v>
      </c>
      <c r="K94" t="s">
        <v>779</v>
      </c>
      <c r="L94">
        <v>1368</v>
      </c>
      <c r="N94">
        <v>1011</v>
      </c>
      <c r="O94" t="s">
        <v>700</v>
      </c>
      <c r="P94" t="s">
        <v>700</v>
      </c>
      <c r="Q94">
        <v>1</v>
      </c>
      <c r="W94">
        <v>0</v>
      </c>
      <c r="X94">
        <v>4083802</v>
      </c>
      <c r="Y94">
        <f t="shared" si="38"/>
        <v>1</v>
      </c>
      <c r="AA94">
        <v>0</v>
      </c>
      <c r="AB94">
        <v>9.35</v>
      </c>
      <c r="AC94">
        <v>0</v>
      </c>
      <c r="AD94">
        <v>0</v>
      </c>
      <c r="AE94">
        <v>0</v>
      </c>
      <c r="AF94">
        <v>1.43</v>
      </c>
      <c r="AG94">
        <v>0</v>
      </c>
      <c r="AH94">
        <v>0</v>
      </c>
      <c r="AI94">
        <v>1</v>
      </c>
      <c r="AJ94">
        <v>6.54</v>
      </c>
      <c r="AK94">
        <v>35.270000000000003</v>
      </c>
      <c r="AL94">
        <v>1</v>
      </c>
      <c r="AM94">
        <v>2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1</v>
      </c>
      <c r="AU94" t="s">
        <v>3</v>
      </c>
      <c r="AV94">
        <v>0</v>
      </c>
      <c r="AW94">
        <v>2</v>
      </c>
      <c r="AX94">
        <v>94799560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V94">
        <v>0</v>
      </c>
      <c r="CW94">
        <f>ROUND(Y94*Source!I107*DO94,9)</f>
        <v>0</v>
      </c>
      <c r="CX94">
        <f>ROUND(Y94*Source!I107,9)</f>
        <v>0.23300000000000001</v>
      </c>
      <c r="CY94">
        <f t="shared" si="39"/>
        <v>9.35</v>
      </c>
      <c r="CZ94">
        <f t="shared" si="40"/>
        <v>1.43</v>
      </c>
      <c r="DA94">
        <f t="shared" si="41"/>
        <v>6.54</v>
      </c>
      <c r="DB94">
        <f t="shared" si="42"/>
        <v>1.43</v>
      </c>
      <c r="DC94">
        <f t="shared" si="43"/>
        <v>0</v>
      </c>
      <c r="DD94" t="s">
        <v>3</v>
      </c>
      <c r="DE94" t="s">
        <v>3</v>
      </c>
      <c r="DF94">
        <f t="shared" si="37"/>
        <v>0</v>
      </c>
      <c r="DG94">
        <f t="shared" si="44"/>
        <v>2.1800000000000002</v>
      </c>
      <c r="DH94">
        <f t="shared" si="45"/>
        <v>0</v>
      </c>
      <c r="DI94">
        <f t="shared" si="28"/>
        <v>0</v>
      </c>
      <c r="DJ94">
        <f t="shared" si="46"/>
        <v>2.1800000000000002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ROW(Source!A107)</f>
        <v>107</v>
      </c>
      <c r="B95">
        <v>94798619</v>
      </c>
      <c r="C95">
        <v>94799554</v>
      </c>
      <c r="D95">
        <v>37804065</v>
      </c>
      <c r="E95">
        <v>1</v>
      </c>
      <c r="F95">
        <v>1</v>
      </c>
      <c r="G95">
        <v>1</v>
      </c>
      <c r="H95">
        <v>2</v>
      </c>
      <c r="I95" t="s">
        <v>797</v>
      </c>
      <c r="J95" t="s">
        <v>798</v>
      </c>
      <c r="K95" t="s">
        <v>799</v>
      </c>
      <c r="L95">
        <v>1368</v>
      </c>
      <c r="N95">
        <v>1011</v>
      </c>
      <c r="O95" t="s">
        <v>700</v>
      </c>
      <c r="P95" t="s">
        <v>700</v>
      </c>
      <c r="Q95">
        <v>1</v>
      </c>
      <c r="W95">
        <v>0</v>
      </c>
      <c r="X95">
        <v>835824343</v>
      </c>
      <c r="Y95">
        <f t="shared" si="38"/>
        <v>0.3</v>
      </c>
      <c r="AA95">
        <v>0</v>
      </c>
      <c r="AB95">
        <v>12.13</v>
      </c>
      <c r="AC95">
        <v>0</v>
      </c>
      <c r="AD95">
        <v>0</v>
      </c>
      <c r="AE95">
        <v>0</v>
      </c>
      <c r="AF95">
        <v>2.15</v>
      </c>
      <c r="AG95">
        <v>0</v>
      </c>
      <c r="AH95">
        <v>0</v>
      </c>
      <c r="AI95">
        <v>1</v>
      </c>
      <c r="AJ95">
        <v>5.64</v>
      </c>
      <c r="AK95">
        <v>35.270000000000003</v>
      </c>
      <c r="AL95">
        <v>1</v>
      </c>
      <c r="AM95">
        <v>2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0.3</v>
      </c>
      <c r="AU95" t="s">
        <v>3</v>
      </c>
      <c r="AV95">
        <v>0</v>
      </c>
      <c r="AW95">
        <v>2</v>
      </c>
      <c r="AX95">
        <v>94799561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V95">
        <v>0</v>
      </c>
      <c r="CW95">
        <f>ROUND(Y95*Source!I107*DO95,9)</f>
        <v>0</v>
      </c>
      <c r="CX95">
        <f>ROUND(Y95*Source!I107,9)</f>
        <v>6.9900000000000004E-2</v>
      </c>
      <c r="CY95">
        <f t="shared" si="39"/>
        <v>12.13</v>
      </c>
      <c r="CZ95">
        <f t="shared" si="40"/>
        <v>2.15</v>
      </c>
      <c r="DA95">
        <f t="shared" si="41"/>
        <v>5.64</v>
      </c>
      <c r="DB95">
        <f t="shared" si="42"/>
        <v>0.65</v>
      </c>
      <c r="DC95">
        <f t="shared" si="43"/>
        <v>0</v>
      </c>
      <c r="DD95" t="s">
        <v>3</v>
      </c>
      <c r="DE95" t="s">
        <v>3</v>
      </c>
      <c r="DF95">
        <f t="shared" si="37"/>
        <v>0</v>
      </c>
      <c r="DG95">
        <f t="shared" si="44"/>
        <v>0.85</v>
      </c>
      <c r="DH95">
        <f t="shared" si="45"/>
        <v>0</v>
      </c>
      <c r="DI95">
        <f t="shared" si="28"/>
        <v>0</v>
      </c>
      <c r="DJ95">
        <f t="shared" si="46"/>
        <v>0.85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ROW(Source!A107)</f>
        <v>107</v>
      </c>
      <c r="B96">
        <v>94798619</v>
      </c>
      <c r="C96">
        <v>94799554</v>
      </c>
      <c r="D96">
        <v>37804071</v>
      </c>
      <c r="E96">
        <v>1</v>
      </c>
      <c r="F96">
        <v>1</v>
      </c>
      <c r="G96">
        <v>1</v>
      </c>
      <c r="H96">
        <v>2</v>
      </c>
      <c r="I96" t="s">
        <v>800</v>
      </c>
      <c r="J96" t="s">
        <v>801</v>
      </c>
      <c r="K96" t="s">
        <v>802</v>
      </c>
      <c r="L96">
        <v>1368</v>
      </c>
      <c r="N96">
        <v>1011</v>
      </c>
      <c r="O96" t="s">
        <v>700</v>
      </c>
      <c r="P96" t="s">
        <v>700</v>
      </c>
      <c r="Q96">
        <v>1</v>
      </c>
      <c r="W96">
        <v>0</v>
      </c>
      <c r="X96">
        <v>254649463</v>
      </c>
      <c r="Y96">
        <f t="shared" si="38"/>
        <v>1.1000000000000001</v>
      </c>
      <c r="AA96">
        <v>0</v>
      </c>
      <c r="AB96">
        <v>25.97</v>
      </c>
      <c r="AC96">
        <v>0</v>
      </c>
      <c r="AD96">
        <v>0</v>
      </c>
      <c r="AE96">
        <v>0</v>
      </c>
      <c r="AF96">
        <v>5.4</v>
      </c>
      <c r="AG96">
        <v>0</v>
      </c>
      <c r="AH96">
        <v>0</v>
      </c>
      <c r="AI96">
        <v>1</v>
      </c>
      <c r="AJ96">
        <v>4.8099999999999996</v>
      </c>
      <c r="AK96">
        <v>35.270000000000003</v>
      </c>
      <c r="AL96">
        <v>1</v>
      </c>
      <c r="AM96">
        <v>2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1.1000000000000001</v>
      </c>
      <c r="AU96" t="s">
        <v>3</v>
      </c>
      <c r="AV96">
        <v>0</v>
      </c>
      <c r="AW96">
        <v>2</v>
      </c>
      <c r="AX96">
        <v>94799562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V96">
        <v>0</v>
      </c>
      <c r="CW96">
        <f>ROUND(Y96*Source!I107*DO96,9)</f>
        <v>0</v>
      </c>
      <c r="CX96">
        <f>ROUND(Y96*Source!I107,9)</f>
        <v>0.25629999999999997</v>
      </c>
      <c r="CY96">
        <f t="shared" si="39"/>
        <v>25.97</v>
      </c>
      <c r="CZ96">
        <f t="shared" si="40"/>
        <v>5.4</v>
      </c>
      <c r="DA96">
        <f t="shared" si="41"/>
        <v>4.8099999999999996</v>
      </c>
      <c r="DB96">
        <f t="shared" si="42"/>
        <v>5.94</v>
      </c>
      <c r="DC96">
        <f t="shared" si="43"/>
        <v>0</v>
      </c>
      <c r="DD96" t="s">
        <v>3</v>
      </c>
      <c r="DE96" t="s">
        <v>3</v>
      </c>
      <c r="DF96">
        <f t="shared" si="37"/>
        <v>0</v>
      </c>
      <c r="DG96">
        <f t="shared" si="44"/>
        <v>6.66</v>
      </c>
      <c r="DH96">
        <f t="shared" si="45"/>
        <v>0</v>
      </c>
      <c r="DI96">
        <f t="shared" si="28"/>
        <v>0</v>
      </c>
      <c r="DJ96">
        <f t="shared" si="46"/>
        <v>6.66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ROW(Source!A107)</f>
        <v>107</v>
      </c>
      <c r="B97">
        <v>94798619</v>
      </c>
      <c r="C97">
        <v>94799554</v>
      </c>
      <c r="D97">
        <v>37804241</v>
      </c>
      <c r="E97">
        <v>1</v>
      </c>
      <c r="F97">
        <v>1</v>
      </c>
      <c r="G97">
        <v>1</v>
      </c>
      <c r="H97">
        <v>2</v>
      </c>
      <c r="I97" t="s">
        <v>803</v>
      </c>
      <c r="J97" t="s">
        <v>804</v>
      </c>
      <c r="K97" t="s">
        <v>805</v>
      </c>
      <c r="L97">
        <v>1368</v>
      </c>
      <c r="N97">
        <v>1011</v>
      </c>
      <c r="O97" t="s">
        <v>700</v>
      </c>
      <c r="P97" t="s">
        <v>700</v>
      </c>
      <c r="Q97">
        <v>1</v>
      </c>
      <c r="W97">
        <v>0</v>
      </c>
      <c r="X97">
        <v>-1950449696</v>
      </c>
      <c r="Y97">
        <f t="shared" si="38"/>
        <v>0.84</v>
      </c>
      <c r="AA97">
        <v>0</v>
      </c>
      <c r="AB97">
        <v>341.89</v>
      </c>
      <c r="AC97">
        <v>317.43</v>
      </c>
      <c r="AD97">
        <v>0</v>
      </c>
      <c r="AE97">
        <v>0</v>
      </c>
      <c r="AF97">
        <v>14.45</v>
      </c>
      <c r="AG97">
        <v>9</v>
      </c>
      <c r="AH97">
        <v>0</v>
      </c>
      <c r="AI97">
        <v>1</v>
      </c>
      <c r="AJ97">
        <v>23.66</v>
      </c>
      <c r="AK97">
        <v>35.270000000000003</v>
      </c>
      <c r="AL97">
        <v>1</v>
      </c>
      <c r="AM97">
        <v>2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0.84</v>
      </c>
      <c r="AU97" t="s">
        <v>3</v>
      </c>
      <c r="AV97">
        <v>0</v>
      </c>
      <c r="AW97">
        <v>2</v>
      </c>
      <c r="AX97">
        <v>94799563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V97">
        <v>0</v>
      </c>
      <c r="CW97">
        <f>ROUND(Y97*Source!I107*DO97,9)</f>
        <v>0</v>
      </c>
      <c r="CX97">
        <f>ROUND(Y97*Source!I107,9)</f>
        <v>0.19572000000000001</v>
      </c>
      <c r="CY97">
        <f t="shared" si="39"/>
        <v>341.89</v>
      </c>
      <c r="CZ97">
        <f t="shared" si="40"/>
        <v>14.45</v>
      </c>
      <c r="DA97">
        <f t="shared" si="41"/>
        <v>23.66</v>
      </c>
      <c r="DB97">
        <f t="shared" si="42"/>
        <v>12.14</v>
      </c>
      <c r="DC97">
        <f t="shared" si="43"/>
        <v>7.56</v>
      </c>
      <c r="DD97" t="s">
        <v>3</v>
      </c>
      <c r="DE97" t="s">
        <v>3</v>
      </c>
      <c r="DF97">
        <f t="shared" si="37"/>
        <v>0</v>
      </c>
      <c r="DG97">
        <f t="shared" si="44"/>
        <v>66.91</v>
      </c>
      <c r="DH97">
        <f t="shared" si="45"/>
        <v>62.13</v>
      </c>
      <c r="DI97">
        <f t="shared" si="28"/>
        <v>0</v>
      </c>
      <c r="DJ97">
        <f t="shared" si="46"/>
        <v>66.91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ROW(Source!A107)</f>
        <v>107</v>
      </c>
      <c r="B98">
        <v>94798619</v>
      </c>
      <c r="C98">
        <v>94799554</v>
      </c>
      <c r="D98">
        <v>37804457</v>
      </c>
      <c r="E98">
        <v>1</v>
      </c>
      <c r="F98">
        <v>1</v>
      </c>
      <c r="G98">
        <v>1</v>
      </c>
      <c r="H98">
        <v>2</v>
      </c>
      <c r="I98" t="s">
        <v>806</v>
      </c>
      <c r="J98" t="s">
        <v>807</v>
      </c>
      <c r="K98" t="s">
        <v>808</v>
      </c>
      <c r="L98">
        <v>1368</v>
      </c>
      <c r="N98">
        <v>1011</v>
      </c>
      <c r="O98" t="s">
        <v>700</v>
      </c>
      <c r="P98" t="s">
        <v>700</v>
      </c>
      <c r="Q98">
        <v>1</v>
      </c>
      <c r="W98">
        <v>0</v>
      </c>
      <c r="X98">
        <v>1291556968</v>
      </c>
      <c r="Y98">
        <f t="shared" si="38"/>
        <v>0.5</v>
      </c>
      <c r="AA98">
        <v>0</v>
      </c>
      <c r="AB98">
        <v>1368.47</v>
      </c>
      <c r="AC98">
        <v>365.04</v>
      </c>
      <c r="AD98">
        <v>0</v>
      </c>
      <c r="AE98">
        <v>0</v>
      </c>
      <c r="AF98">
        <v>102.97</v>
      </c>
      <c r="AG98">
        <v>10.35</v>
      </c>
      <c r="AH98">
        <v>0</v>
      </c>
      <c r="AI98">
        <v>1</v>
      </c>
      <c r="AJ98">
        <v>13.29</v>
      </c>
      <c r="AK98">
        <v>35.270000000000003</v>
      </c>
      <c r="AL98">
        <v>1</v>
      </c>
      <c r="AM98">
        <v>2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0.5</v>
      </c>
      <c r="AU98" t="s">
        <v>3</v>
      </c>
      <c r="AV98">
        <v>0</v>
      </c>
      <c r="AW98">
        <v>2</v>
      </c>
      <c r="AX98">
        <v>94799564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V98">
        <v>0</v>
      </c>
      <c r="CW98">
        <f>ROUND(Y98*Source!I107*DO98,9)</f>
        <v>0</v>
      </c>
      <c r="CX98">
        <f>ROUND(Y98*Source!I107,9)</f>
        <v>0.11650000000000001</v>
      </c>
      <c r="CY98">
        <f t="shared" si="39"/>
        <v>1368.47</v>
      </c>
      <c r="CZ98">
        <f t="shared" si="40"/>
        <v>102.97</v>
      </c>
      <c r="DA98">
        <f t="shared" si="41"/>
        <v>13.29</v>
      </c>
      <c r="DB98">
        <f t="shared" si="42"/>
        <v>51.49</v>
      </c>
      <c r="DC98">
        <f t="shared" si="43"/>
        <v>5.18</v>
      </c>
      <c r="DD98" t="s">
        <v>3</v>
      </c>
      <c r="DE98" t="s">
        <v>3</v>
      </c>
      <c r="DF98">
        <f t="shared" si="37"/>
        <v>0</v>
      </c>
      <c r="DG98">
        <f t="shared" si="44"/>
        <v>159.43</v>
      </c>
      <c r="DH98">
        <f t="shared" si="45"/>
        <v>42.53</v>
      </c>
      <c r="DI98">
        <f t="shared" si="28"/>
        <v>0</v>
      </c>
      <c r="DJ98">
        <f t="shared" si="46"/>
        <v>159.43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ROW(Source!A107)</f>
        <v>107</v>
      </c>
      <c r="B99">
        <v>94798619</v>
      </c>
      <c r="C99">
        <v>94799554</v>
      </c>
      <c r="D99">
        <v>37729659</v>
      </c>
      <c r="E99">
        <v>1</v>
      </c>
      <c r="F99">
        <v>1</v>
      </c>
      <c r="G99">
        <v>1</v>
      </c>
      <c r="H99">
        <v>3</v>
      </c>
      <c r="I99" t="s">
        <v>187</v>
      </c>
      <c r="J99" t="s">
        <v>189</v>
      </c>
      <c r="K99" t="s">
        <v>188</v>
      </c>
      <c r="L99">
        <v>1339</v>
      </c>
      <c r="N99">
        <v>1007</v>
      </c>
      <c r="O99" t="s">
        <v>52</v>
      </c>
      <c r="P99" t="s">
        <v>52</v>
      </c>
      <c r="Q99">
        <v>1</v>
      </c>
      <c r="W99">
        <v>0</v>
      </c>
      <c r="X99">
        <v>-821751618</v>
      </c>
      <c r="Y99">
        <f t="shared" si="38"/>
        <v>2.6</v>
      </c>
      <c r="AA99">
        <v>118.62</v>
      </c>
      <c r="AB99">
        <v>0</v>
      </c>
      <c r="AC99">
        <v>0</v>
      </c>
      <c r="AD99">
        <v>0</v>
      </c>
      <c r="AE99">
        <v>6.22</v>
      </c>
      <c r="AF99">
        <v>0</v>
      </c>
      <c r="AG99">
        <v>0</v>
      </c>
      <c r="AH99">
        <v>0</v>
      </c>
      <c r="AI99">
        <v>19.07</v>
      </c>
      <c r="AJ99">
        <v>1</v>
      </c>
      <c r="AK99">
        <v>1</v>
      </c>
      <c r="AL99">
        <v>1</v>
      </c>
      <c r="AM99">
        <v>2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2.6</v>
      </c>
      <c r="AU99" t="s">
        <v>3</v>
      </c>
      <c r="AV99">
        <v>0</v>
      </c>
      <c r="AW99">
        <v>2</v>
      </c>
      <c r="AX99">
        <v>94799565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V99">
        <v>0</v>
      </c>
      <c r="CW99">
        <v>0</v>
      </c>
      <c r="CX99">
        <f>ROUND(Y99*Source!I107,9)</f>
        <v>0.60580000000000001</v>
      </c>
      <c r="CY99">
        <f>AA99</f>
        <v>118.62</v>
      </c>
      <c r="CZ99">
        <f>AE99</f>
        <v>6.22</v>
      </c>
      <c r="DA99">
        <f>AI99</f>
        <v>19.07</v>
      </c>
      <c r="DB99">
        <f t="shared" si="42"/>
        <v>16.170000000000002</v>
      </c>
      <c r="DC99">
        <f t="shared" si="43"/>
        <v>0</v>
      </c>
      <c r="DD99" t="s">
        <v>3</v>
      </c>
      <c r="DE99" t="s">
        <v>3</v>
      </c>
      <c r="DF99">
        <f>ROUND(ROUND(AE99*AI99,2)*CX99,2)</f>
        <v>71.86</v>
      </c>
      <c r="DG99">
        <f t="shared" ref="DG99:DG105" si="47">ROUND(ROUND(AF99,2)*CX99,2)</f>
        <v>0</v>
      </c>
      <c r="DH99">
        <f t="shared" ref="DH99:DH105" si="48">ROUND(ROUND(AG99,2)*CX99,2)</f>
        <v>0</v>
      </c>
      <c r="DI99">
        <f t="shared" si="28"/>
        <v>0</v>
      </c>
      <c r="DJ99">
        <f>DF99</f>
        <v>71.86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ROW(Source!A107)</f>
        <v>107</v>
      </c>
      <c r="B100">
        <v>94798619</v>
      </c>
      <c r="C100">
        <v>94799554</v>
      </c>
      <c r="D100">
        <v>37736454</v>
      </c>
      <c r="E100">
        <v>1</v>
      </c>
      <c r="F100">
        <v>1</v>
      </c>
      <c r="G100">
        <v>1</v>
      </c>
      <c r="H100">
        <v>3</v>
      </c>
      <c r="I100" t="s">
        <v>228</v>
      </c>
      <c r="J100" t="s">
        <v>230</v>
      </c>
      <c r="K100" t="s">
        <v>229</v>
      </c>
      <c r="L100">
        <v>1348</v>
      </c>
      <c r="N100">
        <v>1009</v>
      </c>
      <c r="O100" t="s">
        <v>170</v>
      </c>
      <c r="P100" t="s">
        <v>170</v>
      </c>
      <c r="Q100">
        <v>1000</v>
      </c>
      <c r="W100">
        <v>1</v>
      </c>
      <c r="X100">
        <v>-723893086</v>
      </c>
      <c r="Y100">
        <f t="shared" si="38"/>
        <v>-1.032</v>
      </c>
      <c r="AA100">
        <v>82650.399999999994</v>
      </c>
      <c r="AB100">
        <v>0</v>
      </c>
      <c r="AC100">
        <v>0</v>
      </c>
      <c r="AD100">
        <v>0</v>
      </c>
      <c r="AE100">
        <v>5903.6</v>
      </c>
      <c r="AF100">
        <v>0</v>
      </c>
      <c r="AG100">
        <v>0</v>
      </c>
      <c r="AH100">
        <v>0</v>
      </c>
      <c r="AI100">
        <v>14</v>
      </c>
      <c r="AJ100">
        <v>1</v>
      </c>
      <c r="AK100">
        <v>1</v>
      </c>
      <c r="AL100">
        <v>1</v>
      </c>
      <c r="AM100">
        <v>2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-1.032</v>
      </c>
      <c r="AU100" t="s">
        <v>3</v>
      </c>
      <c r="AV100">
        <v>0</v>
      </c>
      <c r="AW100">
        <v>2</v>
      </c>
      <c r="AX100">
        <v>94799566</v>
      </c>
      <c r="AY100">
        <v>1</v>
      </c>
      <c r="AZ100">
        <v>6144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V100">
        <v>0</v>
      </c>
      <c r="CW100">
        <v>0</v>
      </c>
      <c r="CX100">
        <f>ROUND(Y100*Source!I107,9)</f>
        <v>-0.240456</v>
      </c>
      <c r="CY100">
        <f>AA100</f>
        <v>82650.399999999994</v>
      </c>
      <c r="CZ100">
        <f>AE100</f>
        <v>5903.6</v>
      </c>
      <c r="DA100">
        <f>AI100</f>
        <v>14</v>
      </c>
      <c r="DB100">
        <f t="shared" si="42"/>
        <v>-6092.52</v>
      </c>
      <c r="DC100">
        <f t="shared" si="43"/>
        <v>0</v>
      </c>
      <c r="DD100" t="s">
        <v>3</v>
      </c>
      <c r="DE100" t="s">
        <v>3</v>
      </c>
      <c r="DF100">
        <f>ROUND(ROUND(AE100*AI100,2)*CX100,2)</f>
        <v>-19873.78</v>
      </c>
      <c r="DG100">
        <f t="shared" si="47"/>
        <v>0</v>
      </c>
      <c r="DH100">
        <f t="shared" si="48"/>
        <v>0</v>
      </c>
      <c r="DI100">
        <f t="shared" si="28"/>
        <v>0</v>
      </c>
      <c r="DJ100">
        <f>DF100</f>
        <v>-19873.78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ROW(Source!A107)</f>
        <v>107</v>
      </c>
      <c r="B101">
        <v>94798619</v>
      </c>
      <c r="C101">
        <v>94799554</v>
      </c>
      <c r="D101">
        <v>37736611</v>
      </c>
      <c r="E101">
        <v>1</v>
      </c>
      <c r="F101">
        <v>1</v>
      </c>
      <c r="G101">
        <v>1</v>
      </c>
      <c r="H101">
        <v>3</v>
      </c>
      <c r="I101" t="s">
        <v>809</v>
      </c>
      <c r="J101" t="s">
        <v>810</v>
      </c>
      <c r="K101" t="s">
        <v>811</v>
      </c>
      <c r="L101">
        <v>1348</v>
      </c>
      <c r="N101">
        <v>1009</v>
      </c>
      <c r="O101" t="s">
        <v>170</v>
      </c>
      <c r="P101" t="s">
        <v>170</v>
      </c>
      <c r="Q101">
        <v>1000</v>
      </c>
      <c r="W101">
        <v>0</v>
      </c>
      <c r="X101">
        <v>11327254</v>
      </c>
      <c r="Y101">
        <f t="shared" si="38"/>
        <v>2.1499999999999998E-2</v>
      </c>
      <c r="AA101">
        <v>112531.32</v>
      </c>
      <c r="AB101">
        <v>0</v>
      </c>
      <c r="AC101">
        <v>0</v>
      </c>
      <c r="AD101">
        <v>0</v>
      </c>
      <c r="AE101">
        <v>10362</v>
      </c>
      <c r="AF101">
        <v>0</v>
      </c>
      <c r="AG101">
        <v>0</v>
      </c>
      <c r="AH101">
        <v>0</v>
      </c>
      <c r="AI101">
        <v>10.86</v>
      </c>
      <c r="AJ101">
        <v>1</v>
      </c>
      <c r="AK101">
        <v>1</v>
      </c>
      <c r="AL101">
        <v>1</v>
      </c>
      <c r="AM101">
        <v>2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2.1499999999999998E-2</v>
      </c>
      <c r="AU101" t="s">
        <v>3</v>
      </c>
      <c r="AV101">
        <v>0</v>
      </c>
      <c r="AW101">
        <v>2</v>
      </c>
      <c r="AX101">
        <v>94799567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V101">
        <v>0</v>
      </c>
      <c r="CW101">
        <v>0</v>
      </c>
      <c r="CX101">
        <f>ROUND(Y101*Source!I107,9)</f>
        <v>5.0095000000000001E-3</v>
      </c>
      <c r="CY101">
        <f>AA101</f>
        <v>112531.32</v>
      </c>
      <c r="CZ101">
        <f>AE101</f>
        <v>10362</v>
      </c>
      <c r="DA101">
        <f>AI101</f>
        <v>10.86</v>
      </c>
      <c r="DB101">
        <f t="shared" si="42"/>
        <v>222.78</v>
      </c>
      <c r="DC101">
        <f t="shared" si="43"/>
        <v>0</v>
      </c>
      <c r="DD101" t="s">
        <v>3</v>
      </c>
      <c r="DE101" t="s">
        <v>3</v>
      </c>
      <c r="DF101">
        <f>ROUND(ROUND(AE101*AI101,2)*CX101,2)</f>
        <v>563.73</v>
      </c>
      <c r="DG101">
        <f t="shared" si="47"/>
        <v>0</v>
      </c>
      <c r="DH101">
        <f t="shared" si="48"/>
        <v>0</v>
      </c>
      <c r="DI101">
        <f t="shared" si="28"/>
        <v>0</v>
      </c>
      <c r="DJ101">
        <f>DF101</f>
        <v>563.73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ROW(Source!A107)</f>
        <v>107</v>
      </c>
      <c r="B102">
        <v>94798619</v>
      </c>
      <c r="C102">
        <v>94799554</v>
      </c>
      <c r="D102">
        <v>37729662</v>
      </c>
      <c r="E102">
        <v>1</v>
      </c>
      <c r="F102">
        <v>1</v>
      </c>
      <c r="G102">
        <v>1</v>
      </c>
      <c r="H102">
        <v>3</v>
      </c>
      <c r="I102" t="s">
        <v>812</v>
      </c>
      <c r="J102" t="s">
        <v>813</v>
      </c>
      <c r="K102" t="s">
        <v>814</v>
      </c>
      <c r="L102">
        <v>1346</v>
      </c>
      <c r="N102">
        <v>1009</v>
      </c>
      <c r="O102" t="s">
        <v>192</v>
      </c>
      <c r="P102" t="s">
        <v>192</v>
      </c>
      <c r="Q102">
        <v>1</v>
      </c>
      <c r="W102">
        <v>0</v>
      </c>
      <c r="X102">
        <v>873943321</v>
      </c>
      <c r="Y102">
        <f t="shared" si="38"/>
        <v>0.5</v>
      </c>
      <c r="AA102">
        <v>53.09</v>
      </c>
      <c r="AB102">
        <v>0</v>
      </c>
      <c r="AC102">
        <v>0</v>
      </c>
      <c r="AD102">
        <v>0</v>
      </c>
      <c r="AE102">
        <v>6.62</v>
      </c>
      <c r="AF102">
        <v>0</v>
      </c>
      <c r="AG102">
        <v>0</v>
      </c>
      <c r="AH102">
        <v>0</v>
      </c>
      <c r="AI102">
        <v>8.02</v>
      </c>
      <c r="AJ102">
        <v>1</v>
      </c>
      <c r="AK102">
        <v>1</v>
      </c>
      <c r="AL102">
        <v>1</v>
      </c>
      <c r="AM102">
        <v>2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0.5</v>
      </c>
      <c r="AU102" t="s">
        <v>3</v>
      </c>
      <c r="AV102">
        <v>0</v>
      </c>
      <c r="AW102">
        <v>2</v>
      </c>
      <c r="AX102">
        <v>94799568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V102">
        <v>0</v>
      </c>
      <c r="CW102">
        <v>0</v>
      </c>
      <c r="CX102">
        <f>ROUND(Y102*Source!I107,9)</f>
        <v>0.11650000000000001</v>
      </c>
      <c r="CY102">
        <f>AA102</f>
        <v>53.09</v>
      </c>
      <c r="CZ102">
        <f>AE102</f>
        <v>6.62</v>
      </c>
      <c r="DA102">
        <f>AI102</f>
        <v>8.02</v>
      </c>
      <c r="DB102">
        <f t="shared" si="42"/>
        <v>3.31</v>
      </c>
      <c r="DC102">
        <f t="shared" si="43"/>
        <v>0</v>
      </c>
      <c r="DD102" t="s">
        <v>3</v>
      </c>
      <c r="DE102" t="s">
        <v>3</v>
      </c>
      <c r="DF102">
        <f>ROUND(ROUND(AE102*AI102,2)*CX102,2)</f>
        <v>6.18</v>
      </c>
      <c r="DG102">
        <f t="shared" si="47"/>
        <v>0</v>
      </c>
      <c r="DH102">
        <f t="shared" si="48"/>
        <v>0</v>
      </c>
      <c r="DI102">
        <f t="shared" si="28"/>
        <v>0</v>
      </c>
      <c r="DJ102">
        <f>DF102</f>
        <v>6.18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ROW(Source!A107)</f>
        <v>107</v>
      </c>
      <c r="B103">
        <v>94798619</v>
      </c>
      <c r="C103">
        <v>94799554</v>
      </c>
      <c r="D103">
        <v>37801918</v>
      </c>
      <c r="E103">
        <v>1</v>
      </c>
      <c r="F103">
        <v>1</v>
      </c>
      <c r="G103">
        <v>1</v>
      </c>
      <c r="H103">
        <v>3</v>
      </c>
      <c r="I103" t="s">
        <v>815</v>
      </c>
      <c r="J103" t="s">
        <v>816</v>
      </c>
      <c r="K103" t="s">
        <v>817</v>
      </c>
      <c r="L103">
        <v>1374</v>
      </c>
      <c r="N103">
        <v>1013</v>
      </c>
      <c r="O103" t="s">
        <v>818</v>
      </c>
      <c r="P103" t="s">
        <v>818</v>
      </c>
      <c r="Q103">
        <v>1</v>
      </c>
      <c r="W103">
        <v>0</v>
      </c>
      <c r="X103">
        <v>2131831278</v>
      </c>
      <c r="Y103">
        <f t="shared" si="38"/>
        <v>21.58</v>
      </c>
      <c r="AA103">
        <v>1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M103">
        <v>-2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21.58</v>
      </c>
      <c r="AU103" t="s">
        <v>3</v>
      </c>
      <c r="AV103">
        <v>0</v>
      </c>
      <c r="AW103">
        <v>2</v>
      </c>
      <c r="AX103">
        <v>94799569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V103">
        <v>0</v>
      </c>
      <c r="CW103">
        <v>0</v>
      </c>
      <c r="CX103">
        <f>ROUND(Y103*Source!I107,9)</f>
        <v>5.0281399999999996</v>
      </c>
      <c r="CY103">
        <f>AA103</f>
        <v>1</v>
      </c>
      <c r="CZ103">
        <f>AE103</f>
        <v>1</v>
      </c>
      <c r="DA103">
        <f>AI103</f>
        <v>1</v>
      </c>
      <c r="DB103">
        <f t="shared" si="42"/>
        <v>21.58</v>
      </c>
      <c r="DC103">
        <f t="shared" si="43"/>
        <v>0</v>
      </c>
      <c r="DD103" t="s">
        <v>3</v>
      </c>
      <c r="DE103" t="s">
        <v>3</v>
      </c>
      <c r="DF103">
        <f t="shared" ref="DF103:DF117" si="49">ROUND(ROUND(AE103,2)*CX103,2)</f>
        <v>5.03</v>
      </c>
      <c r="DG103">
        <f t="shared" si="47"/>
        <v>0</v>
      </c>
      <c r="DH103">
        <f t="shared" si="48"/>
        <v>0</v>
      </c>
      <c r="DI103">
        <f t="shared" si="28"/>
        <v>0</v>
      </c>
      <c r="DJ103">
        <f>DF103</f>
        <v>5.03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ROW(Source!A113)</f>
        <v>113</v>
      </c>
      <c r="B104">
        <v>94798619</v>
      </c>
      <c r="C104">
        <v>94799180</v>
      </c>
      <c r="D104">
        <v>23146451</v>
      </c>
      <c r="E104">
        <v>1</v>
      </c>
      <c r="F104">
        <v>1</v>
      </c>
      <c r="G104">
        <v>1</v>
      </c>
      <c r="H104">
        <v>1</v>
      </c>
      <c r="I104" t="s">
        <v>819</v>
      </c>
      <c r="J104" t="s">
        <v>3</v>
      </c>
      <c r="K104" t="s">
        <v>820</v>
      </c>
      <c r="L104">
        <v>1369</v>
      </c>
      <c r="N104">
        <v>1013</v>
      </c>
      <c r="O104" t="s">
        <v>696</v>
      </c>
      <c r="P104" t="s">
        <v>696</v>
      </c>
      <c r="Q104">
        <v>1</v>
      </c>
      <c r="W104">
        <v>0</v>
      </c>
      <c r="X104">
        <v>1468083442</v>
      </c>
      <c r="Y104">
        <f t="shared" si="38"/>
        <v>46.37</v>
      </c>
      <c r="AA104">
        <v>0</v>
      </c>
      <c r="AB104">
        <v>0</v>
      </c>
      <c r="AC104">
        <v>0</v>
      </c>
      <c r="AD104">
        <v>9.4</v>
      </c>
      <c r="AE104">
        <v>0</v>
      </c>
      <c r="AF104">
        <v>0</v>
      </c>
      <c r="AG104">
        <v>0</v>
      </c>
      <c r="AH104">
        <v>9.4</v>
      </c>
      <c r="AI104">
        <v>1</v>
      </c>
      <c r="AJ104">
        <v>1</v>
      </c>
      <c r="AK104">
        <v>1</v>
      </c>
      <c r="AL104">
        <v>1</v>
      </c>
      <c r="AM104">
        <v>-2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46.37</v>
      </c>
      <c r="AU104" t="s">
        <v>3</v>
      </c>
      <c r="AV104">
        <v>1</v>
      </c>
      <c r="AW104">
        <v>2</v>
      </c>
      <c r="AX104">
        <v>94799181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U104">
        <f>ROUND(AT104*Source!I113*AH104*AL104,2)</f>
        <v>101.56</v>
      </c>
      <c r="CV104">
        <f>ROUND(Y104*Source!I113,9)</f>
        <v>10.804209999999999</v>
      </c>
      <c r="CW104">
        <v>0</v>
      </c>
      <c r="CX104">
        <f>ROUND(Y104*Source!I113,9)</f>
        <v>10.804209999999999</v>
      </c>
      <c r="CY104">
        <f>AD104</f>
        <v>9.4</v>
      </c>
      <c r="CZ104">
        <f>AH104</f>
        <v>9.4</v>
      </c>
      <c r="DA104">
        <f>AL104</f>
        <v>1</v>
      </c>
      <c r="DB104">
        <f t="shared" si="42"/>
        <v>435.88</v>
      </c>
      <c r="DC104">
        <f t="shared" si="43"/>
        <v>0</v>
      </c>
      <c r="DD104" t="s">
        <v>3</v>
      </c>
      <c r="DE104" t="s">
        <v>3</v>
      </c>
      <c r="DF104">
        <f t="shared" si="49"/>
        <v>0</v>
      </c>
      <c r="DG104">
        <f t="shared" si="47"/>
        <v>0</v>
      </c>
      <c r="DH104">
        <f t="shared" si="48"/>
        <v>0</v>
      </c>
      <c r="DI104">
        <f t="shared" si="28"/>
        <v>101.56</v>
      </c>
      <c r="DJ104">
        <f>DI104</f>
        <v>101.56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ROW(Source!A113)</f>
        <v>113</v>
      </c>
      <c r="B105">
        <v>94798619</v>
      </c>
      <c r="C105">
        <v>94799180</v>
      </c>
      <c r="D105">
        <v>121548</v>
      </c>
      <c r="E105">
        <v>1</v>
      </c>
      <c r="F105">
        <v>1</v>
      </c>
      <c r="G105">
        <v>1</v>
      </c>
      <c r="H105">
        <v>1</v>
      </c>
      <c r="I105" t="s">
        <v>28</v>
      </c>
      <c r="J105" t="s">
        <v>3</v>
      </c>
      <c r="K105" t="s">
        <v>705</v>
      </c>
      <c r="L105">
        <v>608254</v>
      </c>
      <c r="N105">
        <v>1013</v>
      </c>
      <c r="O105" t="s">
        <v>706</v>
      </c>
      <c r="P105" t="s">
        <v>706</v>
      </c>
      <c r="Q105">
        <v>1</v>
      </c>
      <c r="W105">
        <v>0</v>
      </c>
      <c r="X105">
        <v>-185737400</v>
      </c>
      <c r="Y105">
        <f t="shared" si="38"/>
        <v>8.68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M105">
        <v>-2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8.68</v>
      </c>
      <c r="AU105" t="s">
        <v>3</v>
      </c>
      <c r="AV105">
        <v>2</v>
      </c>
      <c r="AW105">
        <v>2</v>
      </c>
      <c r="AX105">
        <v>94799182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V105">
        <v>0</v>
      </c>
      <c r="CW105">
        <v>0</v>
      </c>
      <c r="CX105">
        <f>ROUND(Y105*Source!I113,9)</f>
        <v>2.02244</v>
      </c>
      <c r="CY105">
        <f>AD105</f>
        <v>0</v>
      </c>
      <c r="CZ105">
        <f>AH105</f>
        <v>0</v>
      </c>
      <c r="DA105">
        <f>AL105</f>
        <v>1</v>
      </c>
      <c r="DB105">
        <f t="shared" si="42"/>
        <v>0</v>
      </c>
      <c r="DC105">
        <f t="shared" si="43"/>
        <v>0</v>
      </c>
      <c r="DD105" t="s">
        <v>3</v>
      </c>
      <c r="DE105" t="s">
        <v>3</v>
      </c>
      <c r="DF105">
        <f t="shared" si="49"/>
        <v>0</v>
      </c>
      <c r="DG105">
        <f t="shared" si="47"/>
        <v>0</v>
      </c>
      <c r="DH105">
        <f t="shared" si="48"/>
        <v>0</v>
      </c>
      <c r="DI105">
        <f t="shared" si="28"/>
        <v>0</v>
      </c>
      <c r="DJ105">
        <f>DI105</f>
        <v>0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ROW(Source!A113)</f>
        <v>113</v>
      </c>
      <c r="B106">
        <v>94798619</v>
      </c>
      <c r="C106">
        <v>94799180</v>
      </c>
      <c r="D106">
        <v>37802375</v>
      </c>
      <c r="E106">
        <v>1</v>
      </c>
      <c r="F106">
        <v>1</v>
      </c>
      <c r="G106">
        <v>1</v>
      </c>
      <c r="H106">
        <v>2</v>
      </c>
      <c r="I106" t="s">
        <v>821</v>
      </c>
      <c r="J106" t="s">
        <v>822</v>
      </c>
      <c r="K106" t="s">
        <v>823</v>
      </c>
      <c r="L106">
        <v>1368</v>
      </c>
      <c r="N106">
        <v>1011</v>
      </c>
      <c r="O106" t="s">
        <v>700</v>
      </c>
      <c r="P106" t="s">
        <v>700</v>
      </c>
      <c r="Q106">
        <v>1</v>
      </c>
      <c r="W106">
        <v>0</v>
      </c>
      <c r="X106">
        <v>1827899330</v>
      </c>
      <c r="Y106">
        <f t="shared" si="38"/>
        <v>0.42</v>
      </c>
      <c r="AA106">
        <v>0</v>
      </c>
      <c r="AB106">
        <v>1791.92</v>
      </c>
      <c r="AC106">
        <v>486.02</v>
      </c>
      <c r="AD106">
        <v>0</v>
      </c>
      <c r="AE106">
        <v>0</v>
      </c>
      <c r="AF106">
        <v>159.85</v>
      </c>
      <c r="AG106">
        <v>13.78</v>
      </c>
      <c r="AH106">
        <v>0</v>
      </c>
      <c r="AI106">
        <v>1</v>
      </c>
      <c r="AJ106">
        <v>11.21</v>
      </c>
      <c r="AK106">
        <v>35.270000000000003</v>
      </c>
      <c r="AL106">
        <v>1</v>
      </c>
      <c r="AM106">
        <v>2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0.42</v>
      </c>
      <c r="AU106" t="s">
        <v>3</v>
      </c>
      <c r="AV106">
        <v>0</v>
      </c>
      <c r="AW106">
        <v>2</v>
      </c>
      <c r="AX106">
        <v>94799183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V106">
        <v>0</v>
      </c>
      <c r="CW106">
        <f>ROUND(Y106*Source!I113*DO106,9)</f>
        <v>0</v>
      </c>
      <c r="CX106">
        <f>ROUND(Y106*Source!I113,9)</f>
        <v>9.7860000000000003E-2</v>
      </c>
      <c r="CY106">
        <f t="shared" ref="CY106:CY117" si="50">AB106</f>
        <v>1791.92</v>
      </c>
      <c r="CZ106">
        <f t="shared" ref="CZ106:CZ117" si="51">AF106</f>
        <v>159.85</v>
      </c>
      <c r="DA106">
        <f t="shared" ref="DA106:DA117" si="52">AJ106</f>
        <v>11.21</v>
      </c>
      <c r="DB106">
        <f t="shared" si="42"/>
        <v>67.14</v>
      </c>
      <c r="DC106">
        <f t="shared" si="43"/>
        <v>5.79</v>
      </c>
      <c r="DD106" t="s">
        <v>3</v>
      </c>
      <c r="DE106" t="s">
        <v>3</v>
      </c>
      <c r="DF106">
        <f t="shared" si="49"/>
        <v>0</v>
      </c>
      <c r="DG106">
        <f t="shared" ref="DG106:DG117" si="53">ROUND(ROUND(AF106*AJ106,2)*CX106,2)</f>
        <v>175.36</v>
      </c>
      <c r="DH106">
        <f t="shared" ref="DH106:DH117" si="54">ROUND(ROUND(AG106*AK106,2)*CX106,2)</f>
        <v>47.56</v>
      </c>
      <c r="DI106">
        <f t="shared" si="28"/>
        <v>0</v>
      </c>
      <c r="DJ106">
        <f t="shared" ref="DJ106:DJ117" si="55">DG106</f>
        <v>175.36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ROW(Source!A113)</f>
        <v>113</v>
      </c>
      <c r="B107">
        <v>94798619</v>
      </c>
      <c r="C107">
        <v>94799180</v>
      </c>
      <c r="D107">
        <v>37802443</v>
      </c>
      <c r="E107">
        <v>1</v>
      </c>
      <c r="F107">
        <v>1</v>
      </c>
      <c r="G107">
        <v>1</v>
      </c>
      <c r="H107">
        <v>2</v>
      </c>
      <c r="I107" t="s">
        <v>721</v>
      </c>
      <c r="J107" t="s">
        <v>722</v>
      </c>
      <c r="K107" t="s">
        <v>723</v>
      </c>
      <c r="L107">
        <v>1368</v>
      </c>
      <c r="N107">
        <v>1011</v>
      </c>
      <c r="O107" t="s">
        <v>700</v>
      </c>
      <c r="P107" t="s">
        <v>700</v>
      </c>
      <c r="Q107">
        <v>1</v>
      </c>
      <c r="W107">
        <v>0</v>
      </c>
      <c r="X107">
        <v>1447433125</v>
      </c>
      <c r="Y107">
        <f t="shared" si="38"/>
        <v>0.12</v>
      </c>
      <c r="AA107">
        <v>0</v>
      </c>
      <c r="AB107">
        <v>1453.68</v>
      </c>
      <c r="AC107">
        <v>426.77</v>
      </c>
      <c r="AD107">
        <v>0</v>
      </c>
      <c r="AE107">
        <v>0</v>
      </c>
      <c r="AF107">
        <v>124.14</v>
      </c>
      <c r="AG107">
        <v>12.1</v>
      </c>
      <c r="AH107">
        <v>0</v>
      </c>
      <c r="AI107">
        <v>1</v>
      </c>
      <c r="AJ107">
        <v>11.71</v>
      </c>
      <c r="AK107">
        <v>35.270000000000003</v>
      </c>
      <c r="AL107">
        <v>1</v>
      </c>
      <c r="AM107">
        <v>2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0.12</v>
      </c>
      <c r="AU107" t="s">
        <v>3</v>
      </c>
      <c r="AV107">
        <v>0</v>
      </c>
      <c r="AW107">
        <v>2</v>
      </c>
      <c r="AX107">
        <v>94799184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V107">
        <v>0</v>
      </c>
      <c r="CW107">
        <f>ROUND(Y107*Source!I113*DO107,9)</f>
        <v>0</v>
      </c>
      <c r="CX107">
        <f>ROUND(Y107*Source!I113,9)</f>
        <v>2.7959999999999999E-2</v>
      </c>
      <c r="CY107">
        <f t="shared" si="50"/>
        <v>1453.68</v>
      </c>
      <c r="CZ107">
        <f t="shared" si="51"/>
        <v>124.14</v>
      </c>
      <c r="DA107">
        <f t="shared" si="52"/>
        <v>11.71</v>
      </c>
      <c r="DB107">
        <f t="shared" si="42"/>
        <v>14.9</v>
      </c>
      <c r="DC107">
        <f t="shared" si="43"/>
        <v>1.45</v>
      </c>
      <c r="DD107" t="s">
        <v>3</v>
      </c>
      <c r="DE107" t="s">
        <v>3</v>
      </c>
      <c r="DF107">
        <f t="shared" si="49"/>
        <v>0</v>
      </c>
      <c r="DG107">
        <f t="shared" si="53"/>
        <v>40.64</v>
      </c>
      <c r="DH107">
        <f t="shared" si="54"/>
        <v>11.93</v>
      </c>
      <c r="DI107">
        <f t="shared" si="28"/>
        <v>0</v>
      </c>
      <c r="DJ107">
        <f t="shared" si="55"/>
        <v>40.64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ROW(Source!A113)</f>
        <v>113</v>
      </c>
      <c r="B108">
        <v>94798619</v>
      </c>
      <c r="C108">
        <v>94799180</v>
      </c>
      <c r="D108">
        <v>37802467</v>
      </c>
      <c r="E108">
        <v>1</v>
      </c>
      <c r="F108">
        <v>1</v>
      </c>
      <c r="G108">
        <v>1</v>
      </c>
      <c r="H108">
        <v>2</v>
      </c>
      <c r="I108" t="s">
        <v>824</v>
      </c>
      <c r="J108" t="s">
        <v>825</v>
      </c>
      <c r="K108" t="s">
        <v>826</v>
      </c>
      <c r="L108">
        <v>1368</v>
      </c>
      <c r="N108">
        <v>1011</v>
      </c>
      <c r="O108" t="s">
        <v>700</v>
      </c>
      <c r="P108" t="s">
        <v>700</v>
      </c>
      <c r="Q108">
        <v>1</v>
      </c>
      <c r="W108">
        <v>0</v>
      </c>
      <c r="X108">
        <v>-1849766466</v>
      </c>
      <c r="Y108">
        <f t="shared" si="38"/>
        <v>4.07</v>
      </c>
      <c r="AA108">
        <v>0</v>
      </c>
      <c r="AB108">
        <v>5549.2</v>
      </c>
      <c r="AC108">
        <v>881.75</v>
      </c>
      <c r="AD108">
        <v>0</v>
      </c>
      <c r="AE108">
        <v>0</v>
      </c>
      <c r="AF108">
        <v>576.84</v>
      </c>
      <c r="AG108">
        <v>25</v>
      </c>
      <c r="AH108">
        <v>0</v>
      </c>
      <c r="AI108">
        <v>1</v>
      </c>
      <c r="AJ108">
        <v>9.6199999999999992</v>
      </c>
      <c r="AK108">
        <v>35.270000000000003</v>
      </c>
      <c r="AL108">
        <v>1</v>
      </c>
      <c r="AM108">
        <v>2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4.07</v>
      </c>
      <c r="AU108" t="s">
        <v>3</v>
      </c>
      <c r="AV108">
        <v>0</v>
      </c>
      <c r="AW108">
        <v>2</v>
      </c>
      <c r="AX108">
        <v>94799185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V108">
        <v>0</v>
      </c>
      <c r="CW108">
        <f>ROUND(Y108*Source!I113*DO108,9)</f>
        <v>0</v>
      </c>
      <c r="CX108">
        <f>ROUND(Y108*Source!I113,9)</f>
        <v>0.94830999999999999</v>
      </c>
      <c r="CY108">
        <f t="shared" si="50"/>
        <v>5549.2</v>
      </c>
      <c r="CZ108">
        <f t="shared" si="51"/>
        <v>576.84</v>
      </c>
      <c r="DA108">
        <f t="shared" si="52"/>
        <v>9.6199999999999992</v>
      </c>
      <c r="DB108">
        <f t="shared" si="42"/>
        <v>2347.7399999999998</v>
      </c>
      <c r="DC108">
        <f t="shared" si="43"/>
        <v>101.75</v>
      </c>
      <c r="DD108" t="s">
        <v>3</v>
      </c>
      <c r="DE108" t="s">
        <v>3</v>
      </c>
      <c r="DF108">
        <f t="shared" si="49"/>
        <v>0</v>
      </c>
      <c r="DG108">
        <f t="shared" si="53"/>
        <v>5262.36</v>
      </c>
      <c r="DH108">
        <f t="shared" si="54"/>
        <v>836.17</v>
      </c>
      <c r="DI108">
        <f t="shared" si="28"/>
        <v>0</v>
      </c>
      <c r="DJ108">
        <f t="shared" si="55"/>
        <v>5262.36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ROW(Source!A113)</f>
        <v>113</v>
      </c>
      <c r="B109">
        <v>94798619</v>
      </c>
      <c r="C109">
        <v>94799180</v>
      </c>
      <c r="D109">
        <v>37802530</v>
      </c>
      <c r="E109">
        <v>1</v>
      </c>
      <c r="F109">
        <v>1</v>
      </c>
      <c r="G109">
        <v>1</v>
      </c>
      <c r="H109">
        <v>2</v>
      </c>
      <c r="I109" t="s">
        <v>827</v>
      </c>
      <c r="J109" t="s">
        <v>828</v>
      </c>
      <c r="K109" t="s">
        <v>829</v>
      </c>
      <c r="L109">
        <v>1368</v>
      </c>
      <c r="N109">
        <v>1011</v>
      </c>
      <c r="O109" t="s">
        <v>700</v>
      </c>
      <c r="P109" t="s">
        <v>700</v>
      </c>
      <c r="Q109">
        <v>1</v>
      </c>
      <c r="W109">
        <v>0</v>
      </c>
      <c r="X109">
        <v>11972859</v>
      </c>
      <c r="Y109">
        <f t="shared" si="38"/>
        <v>0.1</v>
      </c>
      <c r="AA109">
        <v>0</v>
      </c>
      <c r="AB109">
        <v>8.09</v>
      </c>
      <c r="AC109">
        <v>0</v>
      </c>
      <c r="AD109">
        <v>0</v>
      </c>
      <c r="AE109">
        <v>0</v>
      </c>
      <c r="AF109">
        <v>1.52</v>
      </c>
      <c r="AG109">
        <v>0</v>
      </c>
      <c r="AH109">
        <v>0</v>
      </c>
      <c r="AI109">
        <v>1</v>
      </c>
      <c r="AJ109">
        <v>5.32</v>
      </c>
      <c r="AK109">
        <v>35.270000000000003</v>
      </c>
      <c r="AL109">
        <v>1</v>
      </c>
      <c r="AM109">
        <v>2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0.1</v>
      </c>
      <c r="AU109" t="s">
        <v>3</v>
      </c>
      <c r="AV109">
        <v>0</v>
      </c>
      <c r="AW109">
        <v>2</v>
      </c>
      <c r="AX109">
        <v>94799186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V109">
        <v>0</v>
      </c>
      <c r="CW109">
        <f>ROUND(Y109*Source!I113*DO109,9)</f>
        <v>0</v>
      </c>
      <c r="CX109">
        <f>ROUND(Y109*Source!I113,9)</f>
        <v>2.3300000000000001E-2</v>
      </c>
      <c r="CY109">
        <f t="shared" si="50"/>
        <v>8.09</v>
      </c>
      <c r="CZ109">
        <f t="shared" si="51"/>
        <v>1.52</v>
      </c>
      <c r="DA109">
        <f t="shared" si="52"/>
        <v>5.32</v>
      </c>
      <c r="DB109">
        <f t="shared" si="42"/>
        <v>0.15</v>
      </c>
      <c r="DC109">
        <f t="shared" si="43"/>
        <v>0</v>
      </c>
      <c r="DD109" t="s">
        <v>3</v>
      </c>
      <c r="DE109" t="s">
        <v>3</v>
      </c>
      <c r="DF109">
        <f t="shared" si="49"/>
        <v>0</v>
      </c>
      <c r="DG109">
        <f t="shared" si="53"/>
        <v>0.19</v>
      </c>
      <c r="DH109">
        <f t="shared" si="54"/>
        <v>0</v>
      </c>
      <c r="DI109">
        <f t="shared" si="28"/>
        <v>0</v>
      </c>
      <c r="DJ109">
        <f t="shared" si="55"/>
        <v>0.19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ROW(Source!A113)</f>
        <v>113</v>
      </c>
      <c r="B110">
        <v>94798619</v>
      </c>
      <c r="C110">
        <v>94799180</v>
      </c>
      <c r="D110">
        <v>37802541</v>
      </c>
      <c r="E110">
        <v>1</v>
      </c>
      <c r="F110">
        <v>1</v>
      </c>
      <c r="G110">
        <v>1</v>
      </c>
      <c r="H110">
        <v>2</v>
      </c>
      <c r="I110" t="s">
        <v>830</v>
      </c>
      <c r="J110" t="s">
        <v>831</v>
      </c>
      <c r="K110" t="s">
        <v>832</v>
      </c>
      <c r="L110">
        <v>1368</v>
      </c>
      <c r="N110">
        <v>1011</v>
      </c>
      <c r="O110" t="s">
        <v>700</v>
      </c>
      <c r="P110" t="s">
        <v>700</v>
      </c>
      <c r="Q110">
        <v>1</v>
      </c>
      <c r="W110">
        <v>0</v>
      </c>
      <c r="X110">
        <v>-946971640</v>
      </c>
      <c r="Y110">
        <f t="shared" si="38"/>
        <v>0.34</v>
      </c>
      <c r="AA110">
        <v>0</v>
      </c>
      <c r="AB110">
        <v>9.6199999999999992</v>
      </c>
      <c r="AC110">
        <v>0</v>
      </c>
      <c r="AD110">
        <v>0</v>
      </c>
      <c r="AE110">
        <v>0</v>
      </c>
      <c r="AF110">
        <v>1.85</v>
      </c>
      <c r="AG110">
        <v>0</v>
      </c>
      <c r="AH110">
        <v>0</v>
      </c>
      <c r="AI110">
        <v>1</v>
      </c>
      <c r="AJ110">
        <v>5.2</v>
      </c>
      <c r="AK110">
        <v>35.270000000000003</v>
      </c>
      <c r="AL110">
        <v>1</v>
      </c>
      <c r="AM110">
        <v>2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0.34</v>
      </c>
      <c r="AU110" t="s">
        <v>3</v>
      </c>
      <c r="AV110">
        <v>0</v>
      </c>
      <c r="AW110">
        <v>2</v>
      </c>
      <c r="AX110">
        <v>94799187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V110">
        <v>0</v>
      </c>
      <c r="CW110">
        <f>ROUND(Y110*Source!I113*DO110,9)</f>
        <v>0</v>
      </c>
      <c r="CX110">
        <f>ROUND(Y110*Source!I113,9)</f>
        <v>7.9219999999999999E-2</v>
      </c>
      <c r="CY110">
        <f t="shared" si="50"/>
        <v>9.6199999999999992</v>
      </c>
      <c r="CZ110">
        <f t="shared" si="51"/>
        <v>1.85</v>
      </c>
      <c r="DA110">
        <f t="shared" si="52"/>
        <v>5.2</v>
      </c>
      <c r="DB110">
        <f t="shared" si="42"/>
        <v>0.63</v>
      </c>
      <c r="DC110">
        <f t="shared" si="43"/>
        <v>0</v>
      </c>
      <c r="DD110" t="s">
        <v>3</v>
      </c>
      <c r="DE110" t="s">
        <v>3</v>
      </c>
      <c r="DF110">
        <f t="shared" si="49"/>
        <v>0</v>
      </c>
      <c r="DG110">
        <f t="shared" si="53"/>
        <v>0.76</v>
      </c>
      <c r="DH110">
        <f t="shared" si="54"/>
        <v>0</v>
      </c>
      <c r="DI110">
        <f t="shared" si="28"/>
        <v>0</v>
      </c>
      <c r="DJ110">
        <f t="shared" si="55"/>
        <v>0.76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ROW(Source!A113)</f>
        <v>113</v>
      </c>
      <c r="B111">
        <v>94798619</v>
      </c>
      <c r="C111">
        <v>94799180</v>
      </c>
      <c r="D111">
        <v>37802544</v>
      </c>
      <c r="E111">
        <v>1</v>
      </c>
      <c r="F111">
        <v>1</v>
      </c>
      <c r="G111">
        <v>1</v>
      </c>
      <c r="H111">
        <v>2</v>
      </c>
      <c r="I111" t="s">
        <v>791</v>
      </c>
      <c r="J111" t="s">
        <v>792</v>
      </c>
      <c r="K111" t="s">
        <v>793</v>
      </c>
      <c r="L111">
        <v>1368</v>
      </c>
      <c r="N111">
        <v>1011</v>
      </c>
      <c r="O111" t="s">
        <v>700</v>
      </c>
      <c r="P111" t="s">
        <v>700</v>
      </c>
      <c r="Q111">
        <v>1</v>
      </c>
      <c r="W111">
        <v>0</v>
      </c>
      <c r="X111">
        <v>-892985829</v>
      </c>
      <c r="Y111">
        <f t="shared" si="38"/>
        <v>0.09</v>
      </c>
      <c r="AA111">
        <v>0</v>
      </c>
      <c r="AB111">
        <v>37.19</v>
      </c>
      <c r="AC111">
        <v>0</v>
      </c>
      <c r="AD111">
        <v>0</v>
      </c>
      <c r="AE111">
        <v>0</v>
      </c>
      <c r="AF111">
        <v>7.11</v>
      </c>
      <c r="AG111">
        <v>0</v>
      </c>
      <c r="AH111">
        <v>0</v>
      </c>
      <c r="AI111">
        <v>1</v>
      </c>
      <c r="AJ111">
        <v>5.23</v>
      </c>
      <c r="AK111">
        <v>35.270000000000003</v>
      </c>
      <c r="AL111">
        <v>1</v>
      </c>
      <c r="AM111">
        <v>2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0.09</v>
      </c>
      <c r="AU111" t="s">
        <v>3</v>
      </c>
      <c r="AV111">
        <v>0</v>
      </c>
      <c r="AW111">
        <v>2</v>
      </c>
      <c r="AX111">
        <v>94799188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V111">
        <v>0</v>
      </c>
      <c r="CW111">
        <f>ROUND(Y111*Source!I113*DO111,9)</f>
        <v>0</v>
      </c>
      <c r="CX111">
        <f>ROUND(Y111*Source!I113,9)</f>
        <v>2.0969999999999999E-2</v>
      </c>
      <c r="CY111">
        <f t="shared" si="50"/>
        <v>37.19</v>
      </c>
      <c r="CZ111">
        <f t="shared" si="51"/>
        <v>7.11</v>
      </c>
      <c r="DA111">
        <f t="shared" si="52"/>
        <v>5.23</v>
      </c>
      <c r="DB111">
        <f t="shared" si="42"/>
        <v>0.64</v>
      </c>
      <c r="DC111">
        <f t="shared" si="43"/>
        <v>0</v>
      </c>
      <c r="DD111" t="s">
        <v>3</v>
      </c>
      <c r="DE111" t="s">
        <v>3</v>
      </c>
      <c r="DF111">
        <f t="shared" si="49"/>
        <v>0</v>
      </c>
      <c r="DG111">
        <f t="shared" si="53"/>
        <v>0.78</v>
      </c>
      <c r="DH111">
        <f t="shared" si="54"/>
        <v>0</v>
      </c>
      <c r="DI111">
        <f t="shared" si="28"/>
        <v>0</v>
      </c>
      <c r="DJ111">
        <f t="shared" si="55"/>
        <v>0.78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ROW(Source!A113)</f>
        <v>113</v>
      </c>
      <c r="B112">
        <v>94798619</v>
      </c>
      <c r="C112">
        <v>94799180</v>
      </c>
      <c r="D112">
        <v>37802659</v>
      </c>
      <c r="E112">
        <v>1</v>
      </c>
      <c r="F112">
        <v>1</v>
      </c>
      <c r="G112">
        <v>1</v>
      </c>
      <c r="H112">
        <v>2</v>
      </c>
      <c r="I112" t="s">
        <v>777</v>
      </c>
      <c r="J112" t="s">
        <v>778</v>
      </c>
      <c r="K112" t="s">
        <v>779</v>
      </c>
      <c r="L112">
        <v>1368</v>
      </c>
      <c r="N112">
        <v>1011</v>
      </c>
      <c r="O112" t="s">
        <v>700</v>
      </c>
      <c r="P112" t="s">
        <v>700</v>
      </c>
      <c r="Q112">
        <v>1</v>
      </c>
      <c r="W112">
        <v>0</v>
      </c>
      <c r="X112">
        <v>4083802</v>
      </c>
      <c r="Y112">
        <f t="shared" si="38"/>
        <v>2.2400000000000002</v>
      </c>
      <c r="AA112">
        <v>0</v>
      </c>
      <c r="AB112">
        <v>9.35</v>
      </c>
      <c r="AC112">
        <v>0</v>
      </c>
      <c r="AD112">
        <v>0</v>
      </c>
      <c r="AE112">
        <v>0</v>
      </c>
      <c r="AF112">
        <v>1.43</v>
      </c>
      <c r="AG112">
        <v>0</v>
      </c>
      <c r="AH112">
        <v>0</v>
      </c>
      <c r="AI112">
        <v>1</v>
      </c>
      <c r="AJ112">
        <v>6.54</v>
      </c>
      <c r="AK112">
        <v>35.270000000000003</v>
      </c>
      <c r="AL112">
        <v>1</v>
      </c>
      <c r="AM112">
        <v>2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2.2400000000000002</v>
      </c>
      <c r="AU112" t="s">
        <v>3</v>
      </c>
      <c r="AV112">
        <v>0</v>
      </c>
      <c r="AW112">
        <v>2</v>
      </c>
      <c r="AX112">
        <v>94799189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V112">
        <v>0</v>
      </c>
      <c r="CW112">
        <f>ROUND(Y112*Source!I113*DO112,9)</f>
        <v>0</v>
      </c>
      <c r="CX112">
        <f>ROUND(Y112*Source!I113,9)</f>
        <v>0.52192000000000005</v>
      </c>
      <c r="CY112">
        <f t="shared" si="50"/>
        <v>9.35</v>
      </c>
      <c r="CZ112">
        <f t="shared" si="51"/>
        <v>1.43</v>
      </c>
      <c r="DA112">
        <f t="shared" si="52"/>
        <v>6.54</v>
      </c>
      <c r="DB112">
        <f t="shared" si="42"/>
        <v>3.2</v>
      </c>
      <c r="DC112">
        <f t="shared" si="43"/>
        <v>0</v>
      </c>
      <c r="DD112" t="s">
        <v>3</v>
      </c>
      <c r="DE112" t="s">
        <v>3</v>
      </c>
      <c r="DF112">
        <f t="shared" si="49"/>
        <v>0</v>
      </c>
      <c r="DG112">
        <f t="shared" si="53"/>
        <v>4.88</v>
      </c>
      <c r="DH112">
        <f t="shared" si="54"/>
        <v>0</v>
      </c>
      <c r="DI112">
        <f t="shared" si="28"/>
        <v>0</v>
      </c>
      <c r="DJ112">
        <f t="shared" si="55"/>
        <v>4.88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ROW(Source!A113)</f>
        <v>113</v>
      </c>
      <c r="B113">
        <v>94798619</v>
      </c>
      <c r="C113">
        <v>94799180</v>
      </c>
      <c r="D113">
        <v>37802669</v>
      </c>
      <c r="E113">
        <v>1</v>
      </c>
      <c r="F113">
        <v>1</v>
      </c>
      <c r="G113">
        <v>1</v>
      </c>
      <c r="H113">
        <v>2</v>
      </c>
      <c r="I113" t="s">
        <v>833</v>
      </c>
      <c r="J113" t="s">
        <v>834</v>
      </c>
      <c r="K113" t="s">
        <v>835</v>
      </c>
      <c r="L113">
        <v>1368</v>
      </c>
      <c r="N113">
        <v>1011</v>
      </c>
      <c r="O113" t="s">
        <v>700</v>
      </c>
      <c r="P113" t="s">
        <v>700</v>
      </c>
      <c r="Q113">
        <v>1</v>
      </c>
      <c r="W113">
        <v>0</v>
      </c>
      <c r="X113">
        <v>1565869296</v>
      </c>
      <c r="Y113">
        <f t="shared" si="38"/>
        <v>15.01</v>
      </c>
      <c r="AA113">
        <v>0</v>
      </c>
      <c r="AB113">
        <v>116.79</v>
      </c>
      <c r="AC113">
        <v>0</v>
      </c>
      <c r="AD113">
        <v>0</v>
      </c>
      <c r="AE113">
        <v>0</v>
      </c>
      <c r="AF113">
        <v>9.6999999999999993</v>
      </c>
      <c r="AG113">
        <v>0</v>
      </c>
      <c r="AH113">
        <v>0</v>
      </c>
      <c r="AI113">
        <v>1</v>
      </c>
      <c r="AJ113">
        <v>12.04</v>
      </c>
      <c r="AK113">
        <v>35.270000000000003</v>
      </c>
      <c r="AL113">
        <v>1</v>
      </c>
      <c r="AM113">
        <v>2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15.01</v>
      </c>
      <c r="AU113" t="s">
        <v>3</v>
      </c>
      <c r="AV113">
        <v>0</v>
      </c>
      <c r="AW113">
        <v>2</v>
      </c>
      <c r="AX113">
        <v>94799190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V113">
        <v>0</v>
      </c>
      <c r="CW113">
        <f>ROUND(Y113*Source!I113*DO113,9)</f>
        <v>0</v>
      </c>
      <c r="CX113">
        <f>ROUND(Y113*Source!I113,9)</f>
        <v>3.4973299999999998</v>
      </c>
      <c r="CY113">
        <f t="shared" si="50"/>
        <v>116.79</v>
      </c>
      <c r="CZ113">
        <f t="shared" si="51"/>
        <v>9.6999999999999993</v>
      </c>
      <c r="DA113">
        <f t="shared" si="52"/>
        <v>12.04</v>
      </c>
      <c r="DB113">
        <f t="shared" si="42"/>
        <v>145.6</v>
      </c>
      <c r="DC113">
        <f t="shared" si="43"/>
        <v>0</v>
      </c>
      <c r="DD113" t="s">
        <v>3</v>
      </c>
      <c r="DE113" t="s">
        <v>3</v>
      </c>
      <c r="DF113">
        <f t="shared" si="49"/>
        <v>0</v>
      </c>
      <c r="DG113">
        <f t="shared" si="53"/>
        <v>408.45</v>
      </c>
      <c r="DH113">
        <f t="shared" si="54"/>
        <v>0</v>
      </c>
      <c r="DI113">
        <f t="shared" si="28"/>
        <v>0</v>
      </c>
      <c r="DJ113">
        <f t="shared" si="55"/>
        <v>408.45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ROW(Source!A113)</f>
        <v>113</v>
      </c>
      <c r="B114">
        <v>94798619</v>
      </c>
      <c r="C114">
        <v>94799180</v>
      </c>
      <c r="D114">
        <v>37802676</v>
      </c>
      <c r="E114">
        <v>1</v>
      </c>
      <c r="F114">
        <v>1</v>
      </c>
      <c r="G114">
        <v>1</v>
      </c>
      <c r="H114">
        <v>2</v>
      </c>
      <c r="I114" t="s">
        <v>836</v>
      </c>
      <c r="J114" t="s">
        <v>837</v>
      </c>
      <c r="K114" t="s">
        <v>838</v>
      </c>
      <c r="L114">
        <v>1368</v>
      </c>
      <c r="N114">
        <v>1011</v>
      </c>
      <c r="O114" t="s">
        <v>700</v>
      </c>
      <c r="P114" t="s">
        <v>700</v>
      </c>
      <c r="Q114">
        <v>1</v>
      </c>
      <c r="W114">
        <v>0</v>
      </c>
      <c r="X114">
        <v>1535524603</v>
      </c>
      <c r="Y114">
        <f t="shared" si="38"/>
        <v>2.0099999999999998</v>
      </c>
      <c r="AA114">
        <v>0</v>
      </c>
      <c r="AB114">
        <v>74.94</v>
      </c>
      <c r="AC114">
        <v>0</v>
      </c>
      <c r="AD114">
        <v>0</v>
      </c>
      <c r="AE114">
        <v>0</v>
      </c>
      <c r="AF114">
        <v>6.4</v>
      </c>
      <c r="AG114">
        <v>0</v>
      </c>
      <c r="AH114">
        <v>0</v>
      </c>
      <c r="AI114">
        <v>1</v>
      </c>
      <c r="AJ114">
        <v>11.71</v>
      </c>
      <c r="AK114">
        <v>35.270000000000003</v>
      </c>
      <c r="AL114">
        <v>1</v>
      </c>
      <c r="AM114">
        <v>2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2.0099999999999998</v>
      </c>
      <c r="AU114" t="s">
        <v>3</v>
      </c>
      <c r="AV114">
        <v>0</v>
      </c>
      <c r="AW114">
        <v>2</v>
      </c>
      <c r="AX114">
        <v>94799191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V114">
        <v>0</v>
      </c>
      <c r="CW114">
        <f>ROUND(Y114*Source!I113*DO114,9)</f>
        <v>0</v>
      </c>
      <c r="CX114">
        <f>ROUND(Y114*Source!I113,9)</f>
        <v>0.46833000000000002</v>
      </c>
      <c r="CY114">
        <f t="shared" si="50"/>
        <v>74.94</v>
      </c>
      <c r="CZ114">
        <f t="shared" si="51"/>
        <v>6.4</v>
      </c>
      <c r="DA114">
        <f t="shared" si="52"/>
        <v>11.71</v>
      </c>
      <c r="DB114">
        <f t="shared" si="42"/>
        <v>12.86</v>
      </c>
      <c r="DC114">
        <f t="shared" si="43"/>
        <v>0</v>
      </c>
      <c r="DD114" t="s">
        <v>3</v>
      </c>
      <c r="DE114" t="s">
        <v>3</v>
      </c>
      <c r="DF114">
        <f t="shared" si="49"/>
        <v>0</v>
      </c>
      <c r="DG114">
        <f t="shared" si="53"/>
        <v>35.1</v>
      </c>
      <c r="DH114">
        <f t="shared" si="54"/>
        <v>0</v>
      </c>
      <c r="DI114">
        <f t="shared" si="28"/>
        <v>0</v>
      </c>
      <c r="DJ114">
        <f t="shared" si="55"/>
        <v>35.1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ROW(Source!A113)</f>
        <v>113</v>
      </c>
      <c r="B115">
        <v>94798619</v>
      </c>
      <c r="C115">
        <v>94799180</v>
      </c>
      <c r="D115">
        <v>37804065</v>
      </c>
      <c r="E115">
        <v>1</v>
      </c>
      <c r="F115">
        <v>1</v>
      </c>
      <c r="G115">
        <v>1</v>
      </c>
      <c r="H115">
        <v>2</v>
      </c>
      <c r="I115" t="s">
        <v>797</v>
      </c>
      <c r="J115" t="s">
        <v>798</v>
      </c>
      <c r="K115" t="s">
        <v>799</v>
      </c>
      <c r="L115">
        <v>1368</v>
      </c>
      <c r="N115">
        <v>1011</v>
      </c>
      <c r="O115" t="s">
        <v>700</v>
      </c>
      <c r="P115" t="s">
        <v>700</v>
      </c>
      <c r="Q115">
        <v>1</v>
      </c>
      <c r="W115">
        <v>0</v>
      </c>
      <c r="X115">
        <v>835824343</v>
      </c>
      <c r="Y115">
        <f t="shared" si="38"/>
        <v>0.18</v>
      </c>
      <c r="AA115">
        <v>0</v>
      </c>
      <c r="AB115">
        <v>12.13</v>
      </c>
      <c r="AC115">
        <v>0</v>
      </c>
      <c r="AD115">
        <v>0</v>
      </c>
      <c r="AE115">
        <v>0</v>
      </c>
      <c r="AF115">
        <v>2.15</v>
      </c>
      <c r="AG115">
        <v>0</v>
      </c>
      <c r="AH115">
        <v>0</v>
      </c>
      <c r="AI115">
        <v>1</v>
      </c>
      <c r="AJ115">
        <v>5.64</v>
      </c>
      <c r="AK115">
        <v>35.270000000000003</v>
      </c>
      <c r="AL115">
        <v>1</v>
      </c>
      <c r="AM115">
        <v>2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0.18</v>
      </c>
      <c r="AU115" t="s">
        <v>3</v>
      </c>
      <c r="AV115">
        <v>0</v>
      </c>
      <c r="AW115">
        <v>2</v>
      </c>
      <c r="AX115">
        <v>94799192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V115">
        <v>0</v>
      </c>
      <c r="CW115">
        <f>ROUND(Y115*Source!I113*DO115,9)</f>
        <v>0</v>
      </c>
      <c r="CX115">
        <f>ROUND(Y115*Source!I113,9)</f>
        <v>4.1939999999999998E-2</v>
      </c>
      <c r="CY115">
        <f t="shared" si="50"/>
        <v>12.13</v>
      </c>
      <c r="CZ115">
        <f t="shared" si="51"/>
        <v>2.15</v>
      </c>
      <c r="DA115">
        <f t="shared" si="52"/>
        <v>5.64</v>
      </c>
      <c r="DB115">
        <f t="shared" si="42"/>
        <v>0.39</v>
      </c>
      <c r="DC115">
        <f t="shared" si="43"/>
        <v>0</v>
      </c>
      <c r="DD115" t="s">
        <v>3</v>
      </c>
      <c r="DE115" t="s">
        <v>3</v>
      </c>
      <c r="DF115">
        <f t="shared" si="49"/>
        <v>0</v>
      </c>
      <c r="DG115">
        <f t="shared" si="53"/>
        <v>0.51</v>
      </c>
      <c r="DH115">
        <f t="shared" si="54"/>
        <v>0</v>
      </c>
      <c r="DI115">
        <f t="shared" si="28"/>
        <v>0</v>
      </c>
      <c r="DJ115">
        <f t="shared" si="55"/>
        <v>0.51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ROW(Source!A113)</f>
        <v>113</v>
      </c>
      <c r="B116">
        <v>94798619</v>
      </c>
      <c r="C116">
        <v>94799180</v>
      </c>
      <c r="D116">
        <v>37804071</v>
      </c>
      <c r="E116">
        <v>1</v>
      </c>
      <c r="F116">
        <v>1</v>
      </c>
      <c r="G116">
        <v>1</v>
      </c>
      <c r="H116">
        <v>2</v>
      </c>
      <c r="I116" t="s">
        <v>800</v>
      </c>
      <c r="J116" t="s">
        <v>801</v>
      </c>
      <c r="K116" t="s">
        <v>802</v>
      </c>
      <c r="L116">
        <v>1368</v>
      </c>
      <c r="N116">
        <v>1011</v>
      </c>
      <c r="O116" t="s">
        <v>700</v>
      </c>
      <c r="P116" t="s">
        <v>700</v>
      </c>
      <c r="Q116">
        <v>1</v>
      </c>
      <c r="W116">
        <v>0</v>
      </c>
      <c r="X116">
        <v>254649463</v>
      </c>
      <c r="Y116">
        <f t="shared" si="38"/>
        <v>0.17</v>
      </c>
      <c r="AA116">
        <v>0</v>
      </c>
      <c r="AB116">
        <v>25.97</v>
      </c>
      <c r="AC116">
        <v>0</v>
      </c>
      <c r="AD116">
        <v>0</v>
      </c>
      <c r="AE116">
        <v>0</v>
      </c>
      <c r="AF116">
        <v>5.4</v>
      </c>
      <c r="AG116">
        <v>0</v>
      </c>
      <c r="AH116">
        <v>0</v>
      </c>
      <c r="AI116">
        <v>1</v>
      </c>
      <c r="AJ116">
        <v>4.8099999999999996</v>
      </c>
      <c r="AK116">
        <v>35.270000000000003</v>
      </c>
      <c r="AL116">
        <v>1</v>
      </c>
      <c r="AM116">
        <v>2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0.17</v>
      </c>
      <c r="AU116" t="s">
        <v>3</v>
      </c>
      <c r="AV116">
        <v>0</v>
      </c>
      <c r="AW116">
        <v>2</v>
      </c>
      <c r="AX116">
        <v>94799193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V116">
        <v>0</v>
      </c>
      <c r="CW116">
        <f>ROUND(Y116*Source!I113*DO116,9)</f>
        <v>0</v>
      </c>
      <c r="CX116">
        <f>ROUND(Y116*Source!I113,9)</f>
        <v>3.9609999999999999E-2</v>
      </c>
      <c r="CY116">
        <f t="shared" si="50"/>
        <v>25.97</v>
      </c>
      <c r="CZ116">
        <f t="shared" si="51"/>
        <v>5.4</v>
      </c>
      <c r="DA116">
        <f t="shared" si="52"/>
        <v>4.8099999999999996</v>
      </c>
      <c r="DB116">
        <f t="shared" si="42"/>
        <v>0.92</v>
      </c>
      <c r="DC116">
        <f t="shared" si="43"/>
        <v>0</v>
      </c>
      <c r="DD116" t="s">
        <v>3</v>
      </c>
      <c r="DE116" t="s">
        <v>3</v>
      </c>
      <c r="DF116">
        <f t="shared" si="49"/>
        <v>0</v>
      </c>
      <c r="DG116">
        <f t="shared" si="53"/>
        <v>1.03</v>
      </c>
      <c r="DH116">
        <f t="shared" si="54"/>
        <v>0</v>
      </c>
      <c r="DI116">
        <f t="shared" si="28"/>
        <v>0</v>
      </c>
      <c r="DJ116">
        <f t="shared" si="55"/>
        <v>1.03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ROW(Source!A113)</f>
        <v>113</v>
      </c>
      <c r="B117">
        <v>94798619</v>
      </c>
      <c r="C117">
        <v>94799180</v>
      </c>
      <c r="D117">
        <v>37804456</v>
      </c>
      <c r="E117">
        <v>1</v>
      </c>
      <c r="F117">
        <v>1</v>
      </c>
      <c r="G117">
        <v>1</v>
      </c>
      <c r="H117">
        <v>2</v>
      </c>
      <c r="I117" t="s">
        <v>713</v>
      </c>
      <c r="J117" t="s">
        <v>714</v>
      </c>
      <c r="K117" t="s">
        <v>715</v>
      </c>
      <c r="L117">
        <v>1368</v>
      </c>
      <c r="N117">
        <v>1011</v>
      </c>
      <c r="O117" t="s">
        <v>700</v>
      </c>
      <c r="P117" t="s">
        <v>700</v>
      </c>
      <c r="Q117">
        <v>1</v>
      </c>
      <c r="W117">
        <v>0</v>
      </c>
      <c r="X117">
        <v>-671646184</v>
      </c>
      <c r="Y117">
        <f t="shared" si="38"/>
        <v>0.19</v>
      </c>
      <c r="AA117">
        <v>0</v>
      </c>
      <c r="AB117">
        <v>1305.74</v>
      </c>
      <c r="AC117">
        <v>365.04</v>
      </c>
      <c r="AD117">
        <v>0</v>
      </c>
      <c r="AE117">
        <v>0</v>
      </c>
      <c r="AF117">
        <v>91.76</v>
      </c>
      <c r="AG117">
        <v>10.35</v>
      </c>
      <c r="AH117">
        <v>0</v>
      </c>
      <c r="AI117">
        <v>1</v>
      </c>
      <c r="AJ117">
        <v>14.23</v>
      </c>
      <c r="AK117">
        <v>35.270000000000003</v>
      </c>
      <c r="AL117">
        <v>1</v>
      </c>
      <c r="AM117">
        <v>2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0.19</v>
      </c>
      <c r="AU117" t="s">
        <v>3</v>
      </c>
      <c r="AV117">
        <v>0</v>
      </c>
      <c r="AW117">
        <v>2</v>
      </c>
      <c r="AX117">
        <v>94799194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V117">
        <v>0</v>
      </c>
      <c r="CW117">
        <f>ROUND(Y117*Source!I113*DO117,9)</f>
        <v>0</v>
      </c>
      <c r="CX117">
        <f>ROUND(Y117*Source!I113,9)</f>
        <v>4.4269999999999997E-2</v>
      </c>
      <c r="CY117">
        <f t="shared" si="50"/>
        <v>1305.74</v>
      </c>
      <c r="CZ117">
        <f t="shared" si="51"/>
        <v>91.76</v>
      </c>
      <c r="DA117">
        <f t="shared" si="52"/>
        <v>14.23</v>
      </c>
      <c r="DB117">
        <f t="shared" si="42"/>
        <v>17.43</v>
      </c>
      <c r="DC117">
        <f t="shared" si="43"/>
        <v>1.97</v>
      </c>
      <c r="DD117" t="s">
        <v>3</v>
      </c>
      <c r="DE117" t="s">
        <v>3</v>
      </c>
      <c r="DF117">
        <f t="shared" si="49"/>
        <v>0</v>
      </c>
      <c r="DG117">
        <f t="shared" si="53"/>
        <v>57.81</v>
      </c>
      <c r="DH117">
        <f t="shared" si="54"/>
        <v>16.16</v>
      </c>
      <c r="DI117">
        <f t="shared" si="28"/>
        <v>0</v>
      </c>
      <c r="DJ117">
        <f t="shared" si="55"/>
        <v>57.81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ROW(Source!A113)</f>
        <v>113</v>
      </c>
      <c r="B118">
        <v>94798619</v>
      </c>
      <c r="C118">
        <v>94799180</v>
      </c>
      <c r="D118">
        <v>37730053</v>
      </c>
      <c r="E118">
        <v>1</v>
      </c>
      <c r="F118">
        <v>1</v>
      </c>
      <c r="G118">
        <v>1</v>
      </c>
      <c r="H118">
        <v>3</v>
      </c>
      <c r="I118" t="s">
        <v>839</v>
      </c>
      <c r="J118" t="s">
        <v>840</v>
      </c>
      <c r="K118" t="s">
        <v>841</v>
      </c>
      <c r="L118">
        <v>1348</v>
      </c>
      <c r="N118">
        <v>1009</v>
      </c>
      <c r="O118" t="s">
        <v>170</v>
      </c>
      <c r="P118" t="s">
        <v>170</v>
      </c>
      <c r="Q118">
        <v>1000</v>
      </c>
      <c r="W118">
        <v>0</v>
      </c>
      <c r="X118">
        <v>-1280064888</v>
      </c>
      <c r="Y118">
        <f t="shared" si="38"/>
        <v>1E-4</v>
      </c>
      <c r="AA118">
        <v>231948</v>
      </c>
      <c r="AB118">
        <v>0</v>
      </c>
      <c r="AC118">
        <v>0</v>
      </c>
      <c r="AD118">
        <v>0</v>
      </c>
      <c r="AE118">
        <v>37900</v>
      </c>
      <c r="AF118">
        <v>0</v>
      </c>
      <c r="AG118">
        <v>0</v>
      </c>
      <c r="AH118">
        <v>0</v>
      </c>
      <c r="AI118">
        <v>6.12</v>
      </c>
      <c r="AJ118">
        <v>1</v>
      </c>
      <c r="AK118">
        <v>1</v>
      </c>
      <c r="AL118">
        <v>1</v>
      </c>
      <c r="AM118">
        <v>2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1E-4</v>
      </c>
      <c r="AU118" t="s">
        <v>3</v>
      </c>
      <c r="AV118">
        <v>0</v>
      </c>
      <c r="AW118">
        <v>2</v>
      </c>
      <c r="AX118">
        <v>94799195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V118">
        <v>0</v>
      </c>
      <c r="CW118">
        <v>0</v>
      </c>
      <c r="CX118">
        <f>ROUND(Y118*Source!I113,9)</f>
        <v>2.3300000000000001E-5</v>
      </c>
      <c r="CY118">
        <f t="shared" ref="CY118:CY131" si="56">AA118</f>
        <v>231948</v>
      </c>
      <c r="CZ118">
        <f t="shared" ref="CZ118:CZ131" si="57">AE118</f>
        <v>37900</v>
      </c>
      <c r="DA118">
        <f t="shared" ref="DA118:DA131" si="58">AI118</f>
        <v>6.12</v>
      </c>
      <c r="DB118">
        <f t="shared" si="42"/>
        <v>3.79</v>
      </c>
      <c r="DC118">
        <f t="shared" si="43"/>
        <v>0</v>
      </c>
      <c r="DD118" t="s">
        <v>3</v>
      </c>
      <c r="DE118" t="s">
        <v>3</v>
      </c>
      <c r="DF118">
        <f t="shared" ref="DF118:DF129" si="59">ROUND(ROUND(AE118*AI118,2)*CX118,2)</f>
        <v>5.4</v>
      </c>
      <c r="DG118">
        <f t="shared" ref="DG118:DG132" si="60">ROUND(ROUND(AF118,2)*CX118,2)</f>
        <v>0</v>
      </c>
      <c r="DH118">
        <f t="shared" ref="DH118:DH132" si="61">ROUND(ROUND(AG118,2)*CX118,2)</f>
        <v>0</v>
      </c>
      <c r="DI118">
        <f t="shared" si="28"/>
        <v>0</v>
      </c>
      <c r="DJ118">
        <f t="shared" ref="DJ118:DJ131" si="62">DF118</f>
        <v>5.4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  <row r="119" spans="1:119" x14ac:dyDescent="0.2">
      <c r="A119">
        <f>ROW(Source!A113)</f>
        <v>113</v>
      </c>
      <c r="B119">
        <v>94798619</v>
      </c>
      <c r="C119">
        <v>94799180</v>
      </c>
      <c r="D119">
        <v>37729659</v>
      </c>
      <c r="E119">
        <v>1</v>
      </c>
      <c r="F119">
        <v>1</v>
      </c>
      <c r="G119">
        <v>1</v>
      </c>
      <c r="H119">
        <v>3</v>
      </c>
      <c r="I119" t="s">
        <v>187</v>
      </c>
      <c r="J119" t="s">
        <v>189</v>
      </c>
      <c r="K119" t="s">
        <v>188</v>
      </c>
      <c r="L119">
        <v>1339</v>
      </c>
      <c r="N119">
        <v>1007</v>
      </c>
      <c r="O119" t="s">
        <v>52</v>
      </c>
      <c r="P119" t="s">
        <v>52</v>
      </c>
      <c r="Q119">
        <v>1</v>
      </c>
      <c r="W119">
        <v>0</v>
      </c>
      <c r="X119">
        <v>-821751618</v>
      </c>
      <c r="Y119">
        <f t="shared" si="38"/>
        <v>1.95</v>
      </c>
      <c r="AA119">
        <v>118.62</v>
      </c>
      <c r="AB119">
        <v>0</v>
      </c>
      <c r="AC119">
        <v>0</v>
      </c>
      <c r="AD119">
        <v>0</v>
      </c>
      <c r="AE119">
        <v>6.22</v>
      </c>
      <c r="AF119">
        <v>0</v>
      </c>
      <c r="AG119">
        <v>0</v>
      </c>
      <c r="AH119">
        <v>0</v>
      </c>
      <c r="AI119">
        <v>19.07</v>
      </c>
      <c r="AJ119">
        <v>1</v>
      </c>
      <c r="AK119">
        <v>1</v>
      </c>
      <c r="AL119">
        <v>1</v>
      </c>
      <c r="AM119">
        <v>2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1.95</v>
      </c>
      <c r="AU119" t="s">
        <v>3</v>
      </c>
      <c r="AV119">
        <v>0</v>
      </c>
      <c r="AW119">
        <v>2</v>
      </c>
      <c r="AX119">
        <v>94799196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V119">
        <v>0</v>
      </c>
      <c r="CW119">
        <v>0</v>
      </c>
      <c r="CX119">
        <f>ROUND(Y119*Source!I113,9)</f>
        <v>0.45434999999999998</v>
      </c>
      <c r="CY119">
        <f t="shared" si="56"/>
        <v>118.62</v>
      </c>
      <c r="CZ119">
        <f t="shared" si="57"/>
        <v>6.22</v>
      </c>
      <c r="DA119">
        <f t="shared" si="58"/>
        <v>19.07</v>
      </c>
      <c r="DB119">
        <f t="shared" si="42"/>
        <v>12.13</v>
      </c>
      <c r="DC119">
        <f t="shared" si="43"/>
        <v>0</v>
      </c>
      <c r="DD119" t="s">
        <v>3</v>
      </c>
      <c r="DE119" t="s">
        <v>3</v>
      </c>
      <c r="DF119">
        <f t="shared" si="59"/>
        <v>53.89</v>
      </c>
      <c r="DG119">
        <f t="shared" si="60"/>
        <v>0</v>
      </c>
      <c r="DH119">
        <f t="shared" si="61"/>
        <v>0</v>
      </c>
      <c r="DI119">
        <f t="shared" si="28"/>
        <v>0</v>
      </c>
      <c r="DJ119">
        <f t="shared" si="62"/>
        <v>53.89</v>
      </c>
      <c r="DK119">
        <v>0</v>
      </c>
      <c r="DL119" t="s">
        <v>3</v>
      </c>
      <c r="DM119">
        <v>0</v>
      </c>
      <c r="DN119" t="s">
        <v>3</v>
      </c>
      <c r="DO119">
        <v>0</v>
      </c>
    </row>
    <row r="120" spans="1:119" x14ac:dyDescent="0.2">
      <c r="A120">
        <f>ROW(Source!A113)</f>
        <v>113</v>
      </c>
      <c r="B120">
        <v>94798619</v>
      </c>
      <c r="C120">
        <v>94799180</v>
      </c>
      <c r="D120">
        <v>37736264</v>
      </c>
      <c r="E120">
        <v>1</v>
      </c>
      <c r="F120">
        <v>1</v>
      </c>
      <c r="G120">
        <v>1</v>
      </c>
      <c r="H120">
        <v>3</v>
      </c>
      <c r="I120" t="s">
        <v>842</v>
      </c>
      <c r="J120" t="s">
        <v>843</v>
      </c>
      <c r="K120" t="s">
        <v>844</v>
      </c>
      <c r="L120">
        <v>1348</v>
      </c>
      <c r="N120">
        <v>1009</v>
      </c>
      <c r="O120" t="s">
        <v>170</v>
      </c>
      <c r="P120" t="s">
        <v>170</v>
      </c>
      <c r="Q120">
        <v>1000</v>
      </c>
      <c r="W120">
        <v>0</v>
      </c>
      <c r="X120">
        <v>1941264678</v>
      </c>
      <c r="Y120">
        <f t="shared" si="38"/>
        <v>3.0000000000000001E-5</v>
      </c>
      <c r="AA120">
        <v>31452.3</v>
      </c>
      <c r="AB120">
        <v>0</v>
      </c>
      <c r="AC120">
        <v>0</v>
      </c>
      <c r="AD120">
        <v>0</v>
      </c>
      <c r="AE120">
        <v>4455</v>
      </c>
      <c r="AF120">
        <v>0</v>
      </c>
      <c r="AG120">
        <v>0</v>
      </c>
      <c r="AH120">
        <v>0</v>
      </c>
      <c r="AI120">
        <v>7.06</v>
      </c>
      <c r="AJ120">
        <v>1</v>
      </c>
      <c r="AK120">
        <v>1</v>
      </c>
      <c r="AL120">
        <v>1</v>
      </c>
      <c r="AM120">
        <v>2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</v>
      </c>
      <c r="AT120">
        <v>3.0000000000000001E-5</v>
      </c>
      <c r="AU120" t="s">
        <v>3</v>
      </c>
      <c r="AV120">
        <v>0</v>
      </c>
      <c r="AW120">
        <v>2</v>
      </c>
      <c r="AX120">
        <v>94799197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V120">
        <v>0</v>
      </c>
      <c r="CW120">
        <v>0</v>
      </c>
      <c r="CX120">
        <f>ROUND(Y120*Source!I113,9)</f>
        <v>6.99E-6</v>
      </c>
      <c r="CY120">
        <f t="shared" si="56"/>
        <v>31452.3</v>
      </c>
      <c r="CZ120">
        <f t="shared" si="57"/>
        <v>4455</v>
      </c>
      <c r="DA120">
        <f t="shared" si="58"/>
        <v>7.06</v>
      </c>
      <c r="DB120">
        <f t="shared" si="42"/>
        <v>0.13</v>
      </c>
      <c r="DC120">
        <f t="shared" si="43"/>
        <v>0</v>
      </c>
      <c r="DD120" t="s">
        <v>3</v>
      </c>
      <c r="DE120" t="s">
        <v>3</v>
      </c>
      <c r="DF120">
        <f t="shared" si="59"/>
        <v>0.22</v>
      </c>
      <c r="DG120">
        <f t="shared" si="60"/>
        <v>0</v>
      </c>
      <c r="DH120">
        <f t="shared" si="61"/>
        <v>0</v>
      </c>
      <c r="DI120">
        <f t="shared" si="28"/>
        <v>0</v>
      </c>
      <c r="DJ120">
        <f t="shared" si="62"/>
        <v>0.22</v>
      </c>
      <c r="DK120">
        <v>0</v>
      </c>
      <c r="DL120" t="s">
        <v>3</v>
      </c>
      <c r="DM120">
        <v>0</v>
      </c>
      <c r="DN120" t="s">
        <v>3</v>
      </c>
      <c r="DO120">
        <v>0</v>
      </c>
    </row>
    <row r="121" spans="1:119" x14ac:dyDescent="0.2">
      <c r="A121">
        <f>ROW(Source!A113)</f>
        <v>113</v>
      </c>
      <c r="B121">
        <v>94798619</v>
      </c>
      <c r="C121">
        <v>94799180</v>
      </c>
      <c r="D121">
        <v>37736447</v>
      </c>
      <c r="E121">
        <v>1</v>
      </c>
      <c r="F121">
        <v>1</v>
      </c>
      <c r="G121">
        <v>1</v>
      </c>
      <c r="H121">
        <v>3</v>
      </c>
      <c r="I121" t="s">
        <v>845</v>
      </c>
      <c r="J121" t="s">
        <v>846</v>
      </c>
      <c r="K121" t="s">
        <v>847</v>
      </c>
      <c r="L121">
        <v>1348</v>
      </c>
      <c r="N121">
        <v>1009</v>
      </c>
      <c r="O121" t="s">
        <v>170</v>
      </c>
      <c r="P121" t="s">
        <v>170</v>
      </c>
      <c r="Q121">
        <v>1000</v>
      </c>
      <c r="W121">
        <v>0</v>
      </c>
      <c r="X121">
        <v>-833443196</v>
      </c>
      <c r="Y121">
        <f t="shared" si="38"/>
        <v>1.9400000000000001E-3</v>
      </c>
      <c r="AA121">
        <v>72674</v>
      </c>
      <c r="AB121">
        <v>0</v>
      </c>
      <c r="AC121">
        <v>0</v>
      </c>
      <c r="AD121">
        <v>0</v>
      </c>
      <c r="AE121">
        <v>5191</v>
      </c>
      <c r="AF121">
        <v>0</v>
      </c>
      <c r="AG121">
        <v>0</v>
      </c>
      <c r="AH121">
        <v>0</v>
      </c>
      <c r="AI121">
        <v>14</v>
      </c>
      <c r="AJ121">
        <v>1</v>
      </c>
      <c r="AK121">
        <v>1</v>
      </c>
      <c r="AL121">
        <v>1</v>
      </c>
      <c r="AM121">
        <v>2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1.9400000000000001E-3</v>
      </c>
      <c r="AU121" t="s">
        <v>3</v>
      </c>
      <c r="AV121">
        <v>0</v>
      </c>
      <c r="AW121">
        <v>2</v>
      </c>
      <c r="AX121">
        <v>94799198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V121">
        <v>0</v>
      </c>
      <c r="CW121">
        <v>0</v>
      </c>
      <c r="CX121">
        <f>ROUND(Y121*Source!I113,9)</f>
        <v>4.5202000000000003E-4</v>
      </c>
      <c r="CY121">
        <f t="shared" si="56"/>
        <v>72674</v>
      </c>
      <c r="CZ121">
        <f t="shared" si="57"/>
        <v>5191</v>
      </c>
      <c r="DA121">
        <f t="shared" si="58"/>
        <v>14</v>
      </c>
      <c r="DB121">
        <f t="shared" si="42"/>
        <v>10.07</v>
      </c>
      <c r="DC121">
        <f t="shared" si="43"/>
        <v>0</v>
      </c>
      <c r="DD121" t="s">
        <v>3</v>
      </c>
      <c r="DE121" t="s">
        <v>3</v>
      </c>
      <c r="DF121">
        <f t="shared" si="59"/>
        <v>32.85</v>
      </c>
      <c r="DG121">
        <f t="shared" si="60"/>
        <v>0</v>
      </c>
      <c r="DH121">
        <f t="shared" si="61"/>
        <v>0</v>
      </c>
      <c r="DI121">
        <f t="shared" si="28"/>
        <v>0</v>
      </c>
      <c r="DJ121">
        <f t="shared" si="62"/>
        <v>32.85</v>
      </c>
      <c r="DK121">
        <v>0</v>
      </c>
      <c r="DL121" t="s">
        <v>3</v>
      </c>
      <c r="DM121">
        <v>0</v>
      </c>
      <c r="DN121" t="s">
        <v>3</v>
      </c>
      <c r="DO121">
        <v>0</v>
      </c>
    </row>
    <row r="122" spans="1:119" x14ac:dyDescent="0.2">
      <c r="A122">
        <f>ROW(Source!A113)</f>
        <v>113</v>
      </c>
      <c r="B122">
        <v>94798619</v>
      </c>
      <c r="C122">
        <v>94799180</v>
      </c>
      <c r="D122">
        <v>37736620</v>
      </c>
      <c r="E122">
        <v>1</v>
      </c>
      <c r="F122">
        <v>1</v>
      </c>
      <c r="G122">
        <v>1</v>
      </c>
      <c r="H122">
        <v>3</v>
      </c>
      <c r="I122" t="s">
        <v>848</v>
      </c>
      <c r="J122" t="s">
        <v>849</v>
      </c>
      <c r="K122" t="s">
        <v>850</v>
      </c>
      <c r="L122">
        <v>1348</v>
      </c>
      <c r="N122">
        <v>1009</v>
      </c>
      <c r="O122" t="s">
        <v>170</v>
      </c>
      <c r="P122" t="s">
        <v>170</v>
      </c>
      <c r="Q122">
        <v>1000</v>
      </c>
      <c r="W122">
        <v>0</v>
      </c>
      <c r="X122">
        <v>1476164246</v>
      </c>
      <c r="Y122">
        <f t="shared" si="38"/>
        <v>2.3E-2</v>
      </c>
      <c r="AA122">
        <v>123870.6</v>
      </c>
      <c r="AB122">
        <v>0</v>
      </c>
      <c r="AC122">
        <v>0</v>
      </c>
      <c r="AD122">
        <v>0</v>
      </c>
      <c r="AE122">
        <v>10170</v>
      </c>
      <c r="AF122">
        <v>0</v>
      </c>
      <c r="AG122">
        <v>0</v>
      </c>
      <c r="AH122">
        <v>0</v>
      </c>
      <c r="AI122">
        <v>12.18</v>
      </c>
      <c r="AJ122">
        <v>1</v>
      </c>
      <c r="AK122">
        <v>1</v>
      </c>
      <c r="AL122">
        <v>1</v>
      </c>
      <c r="AM122">
        <v>2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</v>
      </c>
      <c r="AT122">
        <v>2.3E-2</v>
      </c>
      <c r="AU122" t="s">
        <v>3</v>
      </c>
      <c r="AV122">
        <v>0</v>
      </c>
      <c r="AW122">
        <v>2</v>
      </c>
      <c r="AX122">
        <v>94799199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V122">
        <v>0</v>
      </c>
      <c r="CW122">
        <v>0</v>
      </c>
      <c r="CX122">
        <f>ROUND(Y122*Source!I113,9)</f>
        <v>5.359E-3</v>
      </c>
      <c r="CY122">
        <f t="shared" si="56"/>
        <v>123870.6</v>
      </c>
      <c r="CZ122">
        <f t="shared" si="57"/>
        <v>10170</v>
      </c>
      <c r="DA122">
        <f t="shared" si="58"/>
        <v>12.18</v>
      </c>
      <c r="DB122">
        <f t="shared" si="42"/>
        <v>233.91</v>
      </c>
      <c r="DC122">
        <f t="shared" si="43"/>
        <v>0</v>
      </c>
      <c r="DD122" t="s">
        <v>3</v>
      </c>
      <c r="DE122" t="s">
        <v>3</v>
      </c>
      <c r="DF122">
        <f t="shared" si="59"/>
        <v>663.82</v>
      </c>
      <c r="DG122">
        <f t="shared" si="60"/>
        <v>0</v>
      </c>
      <c r="DH122">
        <f t="shared" si="61"/>
        <v>0</v>
      </c>
      <c r="DI122">
        <f t="shared" si="28"/>
        <v>0</v>
      </c>
      <c r="DJ122">
        <f t="shared" si="62"/>
        <v>663.82</v>
      </c>
      <c r="DK122">
        <v>0</v>
      </c>
      <c r="DL122" t="s">
        <v>3</v>
      </c>
      <c r="DM122">
        <v>0</v>
      </c>
      <c r="DN122" t="s">
        <v>3</v>
      </c>
      <c r="DO122">
        <v>0</v>
      </c>
    </row>
    <row r="123" spans="1:119" x14ac:dyDescent="0.2">
      <c r="A123">
        <f>ROW(Source!A113)</f>
        <v>113</v>
      </c>
      <c r="B123">
        <v>94798619</v>
      </c>
      <c r="C123">
        <v>94799180</v>
      </c>
      <c r="D123">
        <v>37736859</v>
      </c>
      <c r="E123">
        <v>1</v>
      </c>
      <c r="F123">
        <v>1</v>
      </c>
      <c r="G123">
        <v>1</v>
      </c>
      <c r="H123">
        <v>3</v>
      </c>
      <c r="I123" t="s">
        <v>252</v>
      </c>
      <c r="J123" t="s">
        <v>254</v>
      </c>
      <c r="K123" t="s">
        <v>253</v>
      </c>
      <c r="L123">
        <v>1348</v>
      </c>
      <c r="N123">
        <v>1009</v>
      </c>
      <c r="O123" t="s">
        <v>170</v>
      </c>
      <c r="P123" t="s">
        <v>170</v>
      </c>
      <c r="Q123">
        <v>1000</v>
      </c>
      <c r="W123">
        <v>0</v>
      </c>
      <c r="X123">
        <v>-384985709</v>
      </c>
      <c r="Y123">
        <f t="shared" si="38"/>
        <v>0</v>
      </c>
      <c r="AA123">
        <v>208824.23</v>
      </c>
      <c r="AB123">
        <v>0</v>
      </c>
      <c r="AC123">
        <v>0</v>
      </c>
      <c r="AD123">
        <v>0</v>
      </c>
      <c r="AE123">
        <v>9040.01</v>
      </c>
      <c r="AF123">
        <v>0</v>
      </c>
      <c r="AG123">
        <v>0</v>
      </c>
      <c r="AH123">
        <v>0</v>
      </c>
      <c r="AI123">
        <v>23.1</v>
      </c>
      <c r="AJ123">
        <v>1</v>
      </c>
      <c r="AK123">
        <v>1</v>
      </c>
      <c r="AL123">
        <v>1</v>
      </c>
      <c r="AM123">
        <v>0</v>
      </c>
      <c r="AN123">
        <v>1</v>
      </c>
      <c r="AO123">
        <v>0</v>
      </c>
      <c r="AP123">
        <v>1</v>
      </c>
      <c r="AQ123">
        <v>0</v>
      </c>
      <c r="AR123">
        <v>0</v>
      </c>
      <c r="AS123" t="s">
        <v>3</v>
      </c>
      <c r="AT123">
        <v>0</v>
      </c>
      <c r="AU123" t="s">
        <v>3</v>
      </c>
      <c r="AV123">
        <v>0</v>
      </c>
      <c r="AW123">
        <v>2</v>
      </c>
      <c r="AX123">
        <v>94799200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V123">
        <v>0</v>
      </c>
      <c r="CW123">
        <v>0</v>
      </c>
      <c r="CX123">
        <f>ROUND(Y123*Source!I113,9)</f>
        <v>0</v>
      </c>
      <c r="CY123">
        <f t="shared" si="56"/>
        <v>208824.23</v>
      </c>
      <c r="CZ123">
        <f t="shared" si="57"/>
        <v>9040.01</v>
      </c>
      <c r="DA123">
        <f t="shared" si="58"/>
        <v>23.1</v>
      </c>
      <c r="DB123">
        <f t="shared" si="42"/>
        <v>0</v>
      </c>
      <c r="DC123">
        <f t="shared" si="43"/>
        <v>0</v>
      </c>
      <c r="DD123" t="s">
        <v>3</v>
      </c>
      <c r="DE123" t="s">
        <v>3</v>
      </c>
      <c r="DF123">
        <f t="shared" si="59"/>
        <v>0</v>
      </c>
      <c r="DG123">
        <f t="shared" si="60"/>
        <v>0</v>
      </c>
      <c r="DH123">
        <f t="shared" si="61"/>
        <v>0</v>
      </c>
      <c r="DI123">
        <f t="shared" si="28"/>
        <v>0</v>
      </c>
      <c r="DJ123">
        <f t="shared" si="62"/>
        <v>0</v>
      </c>
      <c r="DK123">
        <v>0</v>
      </c>
      <c r="DL123" t="s">
        <v>3</v>
      </c>
      <c r="DM123">
        <v>0</v>
      </c>
      <c r="DN123" t="s">
        <v>3</v>
      </c>
      <c r="DO123">
        <v>0</v>
      </c>
    </row>
    <row r="124" spans="1:119" x14ac:dyDescent="0.2">
      <c r="A124">
        <f>ROW(Source!A113)</f>
        <v>113</v>
      </c>
      <c r="B124">
        <v>94798619</v>
      </c>
      <c r="C124">
        <v>94799180</v>
      </c>
      <c r="D124">
        <v>37736933</v>
      </c>
      <c r="E124">
        <v>1</v>
      </c>
      <c r="F124">
        <v>1</v>
      </c>
      <c r="G124">
        <v>1</v>
      </c>
      <c r="H124">
        <v>3</v>
      </c>
      <c r="I124" t="s">
        <v>851</v>
      </c>
      <c r="J124" t="s">
        <v>852</v>
      </c>
      <c r="K124" t="s">
        <v>853</v>
      </c>
      <c r="L124">
        <v>1348</v>
      </c>
      <c r="N124">
        <v>1009</v>
      </c>
      <c r="O124" t="s">
        <v>170</v>
      </c>
      <c r="P124" t="s">
        <v>170</v>
      </c>
      <c r="Q124">
        <v>1000</v>
      </c>
      <c r="W124">
        <v>0</v>
      </c>
      <c r="X124">
        <v>-667930777</v>
      </c>
      <c r="Y124">
        <f t="shared" si="38"/>
        <v>1.0000000000000001E-5</v>
      </c>
      <c r="AA124">
        <v>111120.24</v>
      </c>
      <c r="AB124">
        <v>0</v>
      </c>
      <c r="AC124">
        <v>0</v>
      </c>
      <c r="AD124">
        <v>0</v>
      </c>
      <c r="AE124">
        <v>12936</v>
      </c>
      <c r="AF124">
        <v>0</v>
      </c>
      <c r="AG124">
        <v>0</v>
      </c>
      <c r="AH124">
        <v>0</v>
      </c>
      <c r="AI124">
        <v>8.59</v>
      </c>
      <c r="AJ124">
        <v>1</v>
      </c>
      <c r="AK124">
        <v>1</v>
      </c>
      <c r="AL124">
        <v>1</v>
      </c>
      <c r="AM124">
        <v>2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1.0000000000000001E-5</v>
      </c>
      <c r="AU124" t="s">
        <v>3</v>
      </c>
      <c r="AV124">
        <v>0</v>
      </c>
      <c r="AW124">
        <v>2</v>
      </c>
      <c r="AX124">
        <v>94799201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V124">
        <v>0</v>
      </c>
      <c r="CW124">
        <v>0</v>
      </c>
      <c r="CX124">
        <f>ROUND(Y124*Source!I113,9)</f>
        <v>2.3300000000000001E-6</v>
      </c>
      <c r="CY124">
        <f t="shared" si="56"/>
        <v>111120.24</v>
      </c>
      <c r="CZ124">
        <f t="shared" si="57"/>
        <v>12936</v>
      </c>
      <c r="DA124">
        <f t="shared" si="58"/>
        <v>8.59</v>
      </c>
      <c r="DB124">
        <f t="shared" si="42"/>
        <v>0.13</v>
      </c>
      <c r="DC124">
        <f t="shared" si="43"/>
        <v>0</v>
      </c>
      <c r="DD124" t="s">
        <v>3</v>
      </c>
      <c r="DE124" t="s">
        <v>3</v>
      </c>
      <c r="DF124">
        <f t="shared" si="59"/>
        <v>0.26</v>
      </c>
      <c r="DG124">
        <f t="shared" si="60"/>
        <v>0</v>
      </c>
      <c r="DH124">
        <f t="shared" si="61"/>
        <v>0</v>
      </c>
      <c r="DI124">
        <f t="shared" si="28"/>
        <v>0</v>
      </c>
      <c r="DJ124">
        <f t="shared" si="62"/>
        <v>0.26</v>
      </c>
      <c r="DK124">
        <v>0</v>
      </c>
      <c r="DL124" t="s">
        <v>3</v>
      </c>
      <c r="DM124">
        <v>0</v>
      </c>
      <c r="DN124" t="s">
        <v>3</v>
      </c>
      <c r="DO124">
        <v>0</v>
      </c>
    </row>
    <row r="125" spans="1:119" x14ac:dyDescent="0.2">
      <c r="A125">
        <f>ROW(Source!A113)</f>
        <v>113</v>
      </c>
      <c r="B125">
        <v>94798619</v>
      </c>
      <c r="C125">
        <v>94799180</v>
      </c>
      <c r="D125">
        <v>37729662</v>
      </c>
      <c r="E125">
        <v>1</v>
      </c>
      <c r="F125">
        <v>1</v>
      </c>
      <c r="G125">
        <v>1</v>
      </c>
      <c r="H125">
        <v>3</v>
      </c>
      <c r="I125" t="s">
        <v>812</v>
      </c>
      <c r="J125" t="s">
        <v>813</v>
      </c>
      <c r="K125" t="s">
        <v>814</v>
      </c>
      <c r="L125">
        <v>1346</v>
      </c>
      <c r="N125">
        <v>1009</v>
      </c>
      <c r="O125" t="s">
        <v>192</v>
      </c>
      <c r="P125" t="s">
        <v>192</v>
      </c>
      <c r="Q125">
        <v>1</v>
      </c>
      <c r="W125">
        <v>0</v>
      </c>
      <c r="X125">
        <v>873943321</v>
      </c>
      <c r="Y125">
        <f t="shared" si="38"/>
        <v>0.59</v>
      </c>
      <c r="AA125">
        <v>53.09</v>
      </c>
      <c r="AB125">
        <v>0</v>
      </c>
      <c r="AC125">
        <v>0</v>
      </c>
      <c r="AD125">
        <v>0</v>
      </c>
      <c r="AE125">
        <v>6.62</v>
      </c>
      <c r="AF125">
        <v>0</v>
      </c>
      <c r="AG125">
        <v>0</v>
      </c>
      <c r="AH125">
        <v>0</v>
      </c>
      <c r="AI125">
        <v>8.02</v>
      </c>
      <c r="AJ125">
        <v>1</v>
      </c>
      <c r="AK125">
        <v>1</v>
      </c>
      <c r="AL125">
        <v>1</v>
      </c>
      <c r="AM125">
        <v>2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0.59</v>
      </c>
      <c r="AU125" t="s">
        <v>3</v>
      </c>
      <c r="AV125">
        <v>0</v>
      </c>
      <c r="AW125">
        <v>2</v>
      </c>
      <c r="AX125">
        <v>94799202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V125">
        <v>0</v>
      </c>
      <c r="CW125">
        <v>0</v>
      </c>
      <c r="CX125">
        <f>ROUND(Y125*Source!I113,9)</f>
        <v>0.13747000000000001</v>
      </c>
      <c r="CY125">
        <f t="shared" si="56"/>
        <v>53.09</v>
      </c>
      <c r="CZ125">
        <f t="shared" si="57"/>
        <v>6.62</v>
      </c>
      <c r="DA125">
        <f t="shared" si="58"/>
        <v>8.02</v>
      </c>
      <c r="DB125">
        <f t="shared" si="42"/>
        <v>3.91</v>
      </c>
      <c r="DC125">
        <f t="shared" si="43"/>
        <v>0</v>
      </c>
      <c r="DD125" t="s">
        <v>3</v>
      </c>
      <c r="DE125" t="s">
        <v>3</v>
      </c>
      <c r="DF125">
        <f t="shared" si="59"/>
        <v>7.3</v>
      </c>
      <c r="DG125">
        <f t="shared" si="60"/>
        <v>0</v>
      </c>
      <c r="DH125">
        <f t="shared" si="61"/>
        <v>0</v>
      </c>
      <c r="DI125">
        <f t="shared" si="28"/>
        <v>0</v>
      </c>
      <c r="DJ125">
        <f t="shared" si="62"/>
        <v>7.3</v>
      </c>
      <c r="DK125">
        <v>0</v>
      </c>
      <c r="DL125" t="s">
        <v>3</v>
      </c>
      <c r="DM125">
        <v>0</v>
      </c>
      <c r="DN125" t="s">
        <v>3</v>
      </c>
      <c r="DO125">
        <v>0</v>
      </c>
    </row>
    <row r="126" spans="1:119" x14ac:dyDescent="0.2">
      <c r="A126">
        <f>ROW(Source!A113)</f>
        <v>113</v>
      </c>
      <c r="B126">
        <v>94798619</v>
      </c>
      <c r="C126">
        <v>94799180</v>
      </c>
      <c r="D126">
        <v>37732807</v>
      </c>
      <c r="E126">
        <v>1</v>
      </c>
      <c r="F126">
        <v>1</v>
      </c>
      <c r="G126">
        <v>1</v>
      </c>
      <c r="H126">
        <v>3</v>
      </c>
      <c r="I126" t="s">
        <v>854</v>
      </c>
      <c r="J126" t="s">
        <v>855</v>
      </c>
      <c r="K126" t="s">
        <v>856</v>
      </c>
      <c r="L126">
        <v>1348</v>
      </c>
      <c r="N126">
        <v>1009</v>
      </c>
      <c r="O126" t="s">
        <v>170</v>
      </c>
      <c r="P126" t="s">
        <v>170</v>
      </c>
      <c r="Q126">
        <v>1000</v>
      </c>
      <c r="W126">
        <v>0</v>
      </c>
      <c r="X126">
        <v>-250432139</v>
      </c>
      <c r="Y126">
        <f t="shared" si="38"/>
        <v>5.9999999999999995E-4</v>
      </c>
      <c r="AA126">
        <v>72063</v>
      </c>
      <c r="AB126">
        <v>0</v>
      </c>
      <c r="AC126">
        <v>0</v>
      </c>
      <c r="AD126">
        <v>0</v>
      </c>
      <c r="AE126">
        <v>9420</v>
      </c>
      <c r="AF126">
        <v>0</v>
      </c>
      <c r="AG126">
        <v>0</v>
      </c>
      <c r="AH126">
        <v>0</v>
      </c>
      <c r="AI126">
        <v>7.65</v>
      </c>
      <c r="AJ126">
        <v>1</v>
      </c>
      <c r="AK126">
        <v>1</v>
      </c>
      <c r="AL126">
        <v>1</v>
      </c>
      <c r="AM126">
        <v>2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5.9999999999999995E-4</v>
      </c>
      <c r="AU126" t="s">
        <v>3</v>
      </c>
      <c r="AV126">
        <v>0</v>
      </c>
      <c r="AW126">
        <v>2</v>
      </c>
      <c r="AX126">
        <v>94799203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V126">
        <v>0</v>
      </c>
      <c r="CW126">
        <v>0</v>
      </c>
      <c r="CX126">
        <f>ROUND(Y126*Source!I113,9)</f>
        <v>1.3980000000000001E-4</v>
      </c>
      <c r="CY126">
        <f t="shared" si="56"/>
        <v>72063</v>
      </c>
      <c r="CZ126">
        <f t="shared" si="57"/>
        <v>9420</v>
      </c>
      <c r="DA126">
        <f t="shared" si="58"/>
        <v>7.65</v>
      </c>
      <c r="DB126">
        <f t="shared" si="42"/>
        <v>5.65</v>
      </c>
      <c r="DC126">
        <f t="shared" si="43"/>
        <v>0</v>
      </c>
      <c r="DD126" t="s">
        <v>3</v>
      </c>
      <c r="DE126" t="s">
        <v>3</v>
      </c>
      <c r="DF126">
        <f t="shared" si="59"/>
        <v>10.07</v>
      </c>
      <c r="DG126">
        <f t="shared" si="60"/>
        <v>0</v>
      </c>
      <c r="DH126">
        <f t="shared" si="61"/>
        <v>0</v>
      </c>
      <c r="DI126">
        <f t="shared" si="28"/>
        <v>0</v>
      </c>
      <c r="DJ126">
        <f t="shared" si="62"/>
        <v>10.07</v>
      </c>
      <c r="DK126">
        <v>0</v>
      </c>
      <c r="DL126" t="s">
        <v>3</v>
      </c>
      <c r="DM126">
        <v>0</v>
      </c>
      <c r="DN126" t="s">
        <v>3</v>
      </c>
      <c r="DO126">
        <v>0</v>
      </c>
    </row>
    <row r="127" spans="1:119" x14ac:dyDescent="0.2">
      <c r="A127">
        <f>ROW(Source!A113)</f>
        <v>113</v>
      </c>
      <c r="B127">
        <v>94798619</v>
      </c>
      <c r="C127">
        <v>94799180</v>
      </c>
      <c r="D127">
        <v>37738047</v>
      </c>
      <c r="E127">
        <v>1</v>
      </c>
      <c r="F127">
        <v>1</v>
      </c>
      <c r="G127">
        <v>1</v>
      </c>
      <c r="H127">
        <v>3</v>
      </c>
      <c r="I127" t="s">
        <v>857</v>
      </c>
      <c r="J127" t="s">
        <v>858</v>
      </c>
      <c r="K127" t="s">
        <v>859</v>
      </c>
      <c r="L127">
        <v>1339</v>
      </c>
      <c r="N127">
        <v>1007</v>
      </c>
      <c r="O127" t="s">
        <v>52</v>
      </c>
      <c r="P127" t="s">
        <v>52</v>
      </c>
      <c r="Q127">
        <v>1</v>
      </c>
      <c r="W127">
        <v>0</v>
      </c>
      <c r="X127">
        <v>579634616</v>
      </c>
      <c r="Y127">
        <f t="shared" si="38"/>
        <v>1.0300000000000001E-3</v>
      </c>
      <c r="AA127">
        <v>18572.47</v>
      </c>
      <c r="AB127">
        <v>0</v>
      </c>
      <c r="AC127">
        <v>0</v>
      </c>
      <c r="AD127">
        <v>0</v>
      </c>
      <c r="AE127">
        <v>1421</v>
      </c>
      <c r="AF127">
        <v>0</v>
      </c>
      <c r="AG127">
        <v>0</v>
      </c>
      <c r="AH127">
        <v>0</v>
      </c>
      <c r="AI127">
        <v>13.07</v>
      </c>
      <c r="AJ127">
        <v>1</v>
      </c>
      <c r="AK127">
        <v>1</v>
      </c>
      <c r="AL127">
        <v>1</v>
      </c>
      <c r="AM127">
        <v>2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1.0300000000000001E-3</v>
      </c>
      <c r="AU127" t="s">
        <v>3</v>
      </c>
      <c r="AV127">
        <v>0</v>
      </c>
      <c r="AW127">
        <v>2</v>
      </c>
      <c r="AX127">
        <v>94799204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V127">
        <v>0</v>
      </c>
      <c r="CW127">
        <v>0</v>
      </c>
      <c r="CX127">
        <f>ROUND(Y127*Source!I113,9)</f>
        <v>2.3999000000000001E-4</v>
      </c>
      <c r="CY127">
        <f t="shared" si="56"/>
        <v>18572.47</v>
      </c>
      <c r="CZ127">
        <f t="shared" si="57"/>
        <v>1421</v>
      </c>
      <c r="DA127">
        <f t="shared" si="58"/>
        <v>13.07</v>
      </c>
      <c r="DB127">
        <f t="shared" si="42"/>
        <v>1.46</v>
      </c>
      <c r="DC127">
        <f t="shared" si="43"/>
        <v>0</v>
      </c>
      <c r="DD127" t="s">
        <v>3</v>
      </c>
      <c r="DE127" t="s">
        <v>3</v>
      </c>
      <c r="DF127">
        <f t="shared" si="59"/>
        <v>4.46</v>
      </c>
      <c r="DG127">
        <f t="shared" si="60"/>
        <v>0</v>
      </c>
      <c r="DH127">
        <f t="shared" si="61"/>
        <v>0</v>
      </c>
      <c r="DI127">
        <f t="shared" si="28"/>
        <v>0</v>
      </c>
      <c r="DJ127">
        <f t="shared" si="62"/>
        <v>4.46</v>
      </c>
      <c r="DK127">
        <v>0</v>
      </c>
      <c r="DL127" t="s">
        <v>3</v>
      </c>
      <c r="DM127">
        <v>0</v>
      </c>
      <c r="DN127" t="s">
        <v>3</v>
      </c>
      <c r="DO127">
        <v>0</v>
      </c>
    </row>
    <row r="128" spans="1:119" x14ac:dyDescent="0.2">
      <c r="A128">
        <f>ROW(Source!A113)</f>
        <v>113</v>
      </c>
      <c r="B128">
        <v>94798619</v>
      </c>
      <c r="C128">
        <v>94799180</v>
      </c>
      <c r="D128">
        <v>37744698</v>
      </c>
      <c r="E128">
        <v>1</v>
      </c>
      <c r="F128">
        <v>1</v>
      </c>
      <c r="G128">
        <v>1</v>
      </c>
      <c r="H128">
        <v>3</v>
      </c>
      <c r="I128" t="s">
        <v>178</v>
      </c>
      <c r="J128" t="s">
        <v>180</v>
      </c>
      <c r="K128" t="s">
        <v>179</v>
      </c>
      <c r="L128">
        <v>1348</v>
      </c>
      <c r="N128">
        <v>1009</v>
      </c>
      <c r="O128" t="s">
        <v>170</v>
      </c>
      <c r="P128" t="s">
        <v>170</v>
      </c>
      <c r="Q128">
        <v>1000</v>
      </c>
      <c r="W128">
        <v>0</v>
      </c>
      <c r="X128">
        <v>-763406924</v>
      </c>
      <c r="Y128">
        <f t="shared" si="38"/>
        <v>3.1E-4</v>
      </c>
      <c r="AA128">
        <v>80130.600000000006</v>
      </c>
      <c r="AB128">
        <v>0</v>
      </c>
      <c r="AC128">
        <v>0</v>
      </c>
      <c r="AD128">
        <v>0</v>
      </c>
      <c r="AE128">
        <v>15620</v>
      </c>
      <c r="AF128">
        <v>0</v>
      </c>
      <c r="AG128">
        <v>0</v>
      </c>
      <c r="AH128">
        <v>0</v>
      </c>
      <c r="AI128">
        <v>5.13</v>
      </c>
      <c r="AJ128">
        <v>1</v>
      </c>
      <c r="AK128">
        <v>1</v>
      </c>
      <c r="AL128">
        <v>1</v>
      </c>
      <c r="AM128">
        <v>2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3.1E-4</v>
      </c>
      <c r="AU128" t="s">
        <v>3</v>
      </c>
      <c r="AV128">
        <v>0</v>
      </c>
      <c r="AW128">
        <v>2</v>
      </c>
      <c r="AX128">
        <v>94799205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V128">
        <v>0</v>
      </c>
      <c r="CW128">
        <v>0</v>
      </c>
      <c r="CX128">
        <f>ROUND(Y128*Source!I113,9)</f>
        <v>7.2230000000000005E-5</v>
      </c>
      <c r="CY128">
        <f t="shared" si="56"/>
        <v>80130.600000000006</v>
      </c>
      <c r="CZ128">
        <f t="shared" si="57"/>
        <v>15620</v>
      </c>
      <c r="DA128">
        <f t="shared" si="58"/>
        <v>5.13</v>
      </c>
      <c r="DB128">
        <f t="shared" si="42"/>
        <v>4.84</v>
      </c>
      <c r="DC128">
        <f t="shared" si="43"/>
        <v>0</v>
      </c>
      <c r="DD128" t="s">
        <v>3</v>
      </c>
      <c r="DE128" t="s">
        <v>3</v>
      </c>
      <c r="DF128">
        <f t="shared" si="59"/>
        <v>5.79</v>
      </c>
      <c r="DG128">
        <f t="shared" si="60"/>
        <v>0</v>
      </c>
      <c r="DH128">
        <f t="shared" si="61"/>
        <v>0</v>
      </c>
      <c r="DI128">
        <f t="shared" si="28"/>
        <v>0</v>
      </c>
      <c r="DJ128">
        <f t="shared" si="62"/>
        <v>5.79</v>
      </c>
      <c r="DK128">
        <v>0</v>
      </c>
      <c r="DL128" t="s">
        <v>3</v>
      </c>
      <c r="DM128">
        <v>0</v>
      </c>
      <c r="DN128" t="s">
        <v>3</v>
      </c>
      <c r="DO128">
        <v>0</v>
      </c>
    </row>
    <row r="129" spans="1:119" x14ac:dyDescent="0.2">
      <c r="A129">
        <f>ROW(Source!A113)</f>
        <v>113</v>
      </c>
      <c r="B129">
        <v>94798619</v>
      </c>
      <c r="C129">
        <v>94799180</v>
      </c>
      <c r="D129">
        <v>37751308</v>
      </c>
      <c r="E129">
        <v>1</v>
      </c>
      <c r="F129">
        <v>1</v>
      </c>
      <c r="G129">
        <v>1</v>
      </c>
      <c r="H129">
        <v>3</v>
      </c>
      <c r="I129" t="s">
        <v>860</v>
      </c>
      <c r="J129" t="s">
        <v>861</v>
      </c>
      <c r="K129" t="s">
        <v>862</v>
      </c>
      <c r="L129">
        <v>1348</v>
      </c>
      <c r="N129">
        <v>1009</v>
      </c>
      <c r="O129" t="s">
        <v>170</v>
      </c>
      <c r="P129" t="s">
        <v>170</v>
      </c>
      <c r="Q129">
        <v>1000</v>
      </c>
      <c r="W129">
        <v>0</v>
      </c>
      <c r="X129">
        <v>1152755346</v>
      </c>
      <c r="Y129">
        <f t="shared" si="38"/>
        <v>2.5999999999999999E-2</v>
      </c>
      <c r="AA129">
        <v>119227.52</v>
      </c>
      <c r="AB129">
        <v>0</v>
      </c>
      <c r="AC129">
        <v>0</v>
      </c>
      <c r="AD129">
        <v>0</v>
      </c>
      <c r="AE129">
        <v>7712</v>
      </c>
      <c r="AF129">
        <v>0</v>
      </c>
      <c r="AG129">
        <v>0</v>
      </c>
      <c r="AH129">
        <v>0</v>
      </c>
      <c r="AI129">
        <v>15.46</v>
      </c>
      <c r="AJ129">
        <v>1</v>
      </c>
      <c r="AK129">
        <v>1</v>
      </c>
      <c r="AL129">
        <v>1</v>
      </c>
      <c r="AM129">
        <v>2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2.5999999999999999E-2</v>
      </c>
      <c r="AU129" t="s">
        <v>3</v>
      </c>
      <c r="AV129">
        <v>0</v>
      </c>
      <c r="AW129">
        <v>2</v>
      </c>
      <c r="AX129">
        <v>94799206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V129">
        <v>0</v>
      </c>
      <c r="CW129">
        <v>0</v>
      </c>
      <c r="CX129">
        <f>ROUND(Y129*Source!I113,9)</f>
        <v>6.058E-3</v>
      </c>
      <c r="CY129">
        <f t="shared" si="56"/>
        <v>119227.52</v>
      </c>
      <c r="CZ129">
        <f t="shared" si="57"/>
        <v>7712</v>
      </c>
      <c r="DA129">
        <f t="shared" si="58"/>
        <v>15.46</v>
      </c>
      <c r="DB129">
        <f t="shared" si="42"/>
        <v>200.51</v>
      </c>
      <c r="DC129">
        <f t="shared" si="43"/>
        <v>0</v>
      </c>
      <c r="DD129" t="s">
        <v>3</v>
      </c>
      <c r="DE129" t="s">
        <v>3</v>
      </c>
      <c r="DF129">
        <f t="shared" si="59"/>
        <v>722.28</v>
      </c>
      <c r="DG129">
        <f t="shared" si="60"/>
        <v>0</v>
      </c>
      <c r="DH129">
        <f t="shared" si="61"/>
        <v>0</v>
      </c>
      <c r="DI129">
        <f t="shared" ref="DI129:DI192" si="63">ROUND(ROUND(AH129,2)*CX129,2)</f>
        <v>0</v>
      </c>
      <c r="DJ129">
        <f t="shared" si="62"/>
        <v>722.28</v>
      </c>
      <c r="DK129">
        <v>0</v>
      </c>
      <c r="DL129" t="s">
        <v>3</v>
      </c>
      <c r="DM129">
        <v>0</v>
      </c>
      <c r="DN129" t="s">
        <v>3</v>
      </c>
      <c r="DO129">
        <v>0</v>
      </c>
    </row>
    <row r="130" spans="1:119" x14ac:dyDescent="0.2">
      <c r="A130">
        <f>ROW(Source!A113)</f>
        <v>113</v>
      </c>
      <c r="B130">
        <v>94798619</v>
      </c>
      <c r="C130">
        <v>94799180</v>
      </c>
      <c r="D130">
        <v>37750153</v>
      </c>
      <c r="E130">
        <v>1</v>
      </c>
      <c r="F130">
        <v>1</v>
      </c>
      <c r="G130">
        <v>1</v>
      </c>
      <c r="H130">
        <v>3</v>
      </c>
      <c r="I130" t="s">
        <v>256</v>
      </c>
      <c r="J130" t="s">
        <v>258</v>
      </c>
      <c r="K130" t="s">
        <v>257</v>
      </c>
      <c r="L130">
        <v>1348</v>
      </c>
      <c r="N130">
        <v>1009</v>
      </c>
      <c r="O130" t="s">
        <v>170</v>
      </c>
      <c r="P130" t="s">
        <v>170</v>
      </c>
      <c r="Q130">
        <v>1000</v>
      </c>
      <c r="W130">
        <v>0</v>
      </c>
      <c r="X130">
        <v>-494558740</v>
      </c>
      <c r="Y130">
        <f t="shared" si="38"/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M130">
        <v>0</v>
      </c>
      <c r="AN130">
        <v>0</v>
      </c>
      <c r="AO130">
        <v>0</v>
      </c>
      <c r="AP130">
        <v>1</v>
      </c>
      <c r="AQ130">
        <v>0</v>
      </c>
      <c r="AR130">
        <v>0</v>
      </c>
      <c r="AS130" t="s">
        <v>3</v>
      </c>
      <c r="AT130">
        <v>1</v>
      </c>
      <c r="AU130" t="s">
        <v>3</v>
      </c>
      <c r="AV130">
        <v>0</v>
      </c>
      <c r="AW130">
        <v>2</v>
      </c>
      <c r="AX130">
        <v>94799207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V130">
        <v>0</v>
      </c>
      <c r="CW130">
        <v>0</v>
      </c>
      <c r="CX130">
        <f>ROUND(Y130*Source!I113,9)</f>
        <v>0.23300000000000001</v>
      </c>
      <c r="CY130">
        <f t="shared" si="56"/>
        <v>0</v>
      </c>
      <c r="CZ130">
        <f t="shared" si="57"/>
        <v>0</v>
      </c>
      <c r="DA130">
        <f t="shared" si="58"/>
        <v>1</v>
      </c>
      <c r="DB130">
        <f t="shared" si="42"/>
        <v>0</v>
      </c>
      <c r="DC130">
        <f t="shared" si="43"/>
        <v>0</v>
      </c>
      <c r="DD130" t="s">
        <v>3</v>
      </c>
      <c r="DE130" t="s">
        <v>3</v>
      </c>
      <c r="DF130">
        <f>ROUND(ROUND(AE130,2)*CX130,2)</f>
        <v>0</v>
      </c>
      <c r="DG130">
        <f t="shared" si="60"/>
        <v>0</v>
      </c>
      <c r="DH130">
        <f t="shared" si="61"/>
        <v>0</v>
      </c>
      <c r="DI130">
        <f t="shared" si="63"/>
        <v>0</v>
      </c>
      <c r="DJ130">
        <f t="shared" si="62"/>
        <v>0</v>
      </c>
      <c r="DK130">
        <v>0</v>
      </c>
      <c r="DL130" t="s">
        <v>3</v>
      </c>
      <c r="DM130">
        <v>0</v>
      </c>
      <c r="DN130" t="s">
        <v>3</v>
      </c>
      <c r="DO130">
        <v>0</v>
      </c>
    </row>
    <row r="131" spans="1:119" x14ac:dyDescent="0.2">
      <c r="A131">
        <f>ROW(Source!A113)</f>
        <v>113</v>
      </c>
      <c r="B131">
        <v>94798619</v>
      </c>
      <c r="C131">
        <v>94799180</v>
      </c>
      <c r="D131">
        <v>37790931</v>
      </c>
      <c r="E131">
        <v>1</v>
      </c>
      <c r="F131">
        <v>1</v>
      </c>
      <c r="G131">
        <v>1</v>
      </c>
      <c r="H131">
        <v>3</v>
      </c>
      <c r="I131" t="s">
        <v>863</v>
      </c>
      <c r="J131" t="s">
        <v>864</v>
      </c>
      <c r="K131" t="s">
        <v>865</v>
      </c>
      <c r="L131">
        <v>1302</v>
      </c>
      <c r="N131">
        <v>1003</v>
      </c>
      <c r="O131" t="s">
        <v>866</v>
      </c>
      <c r="P131" t="s">
        <v>866</v>
      </c>
      <c r="Q131">
        <v>10</v>
      </c>
      <c r="W131">
        <v>0</v>
      </c>
      <c r="X131">
        <v>-802941189</v>
      </c>
      <c r="Y131">
        <f t="shared" si="38"/>
        <v>1.8700000000000001E-2</v>
      </c>
      <c r="AA131">
        <v>251.68</v>
      </c>
      <c r="AB131">
        <v>0</v>
      </c>
      <c r="AC131">
        <v>0</v>
      </c>
      <c r="AD131">
        <v>0</v>
      </c>
      <c r="AE131">
        <v>71.5</v>
      </c>
      <c r="AF131">
        <v>0</v>
      </c>
      <c r="AG131">
        <v>0</v>
      </c>
      <c r="AH131">
        <v>0</v>
      </c>
      <c r="AI131">
        <v>3.52</v>
      </c>
      <c r="AJ131">
        <v>1</v>
      </c>
      <c r="AK131">
        <v>1</v>
      </c>
      <c r="AL131">
        <v>1</v>
      </c>
      <c r="AM131">
        <v>2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1.8700000000000001E-2</v>
      </c>
      <c r="AU131" t="s">
        <v>3</v>
      </c>
      <c r="AV131">
        <v>0</v>
      </c>
      <c r="AW131">
        <v>2</v>
      </c>
      <c r="AX131">
        <v>94799208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V131">
        <v>0</v>
      </c>
      <c r="CW131">
        <v>0</v>
      </c>
      <c r="CX131">
        <f>ROUND(Y131*Source!I113,9)</f>
        <v>4.3571E-3</v>
      </c>
      <c r="CY131">
        <f t="shared" si="56"/>
        <v>251.68</v>
      </c>
      <c r="CZ131">
        <f t="shared" si="57"/>
        <v>71.5</v>
      </c>
      <c r="DA131">
        <f t="shared" si="58"/>
        <v>3.52</v>
      </c>
      <c r="DB131">
        <f t="shared" si="42"/>
        <v>1.34</v>
      </c>
      <c r="DC131">
        <f t="shared" si="43"/>
        <v>0</v>
      </c>
      <c r="DD131" t="s">
        <v>3</v>
      </c>
      <c r="DE131" t="s">
        <v>3</v>
      </c>
      <c r="DF131">
        <f>ROUND(ROUND(AE131*AI131,2)*CX131,2)</f>
        <v>1.1000000000000001</v>
      </c>
      <c r="DG131">
        <f t="shared" si="60"/>
        <v>0</v>
      </c>
      <c r="DH131">
        <f t="shared" si="61"/>
        <v>0</v>
      </c>
      <c r="DI131">
        <f t="shared" si="63"/>
        <v>0</v>
      </c>
      <c r="DJ131">
        <f t="shared" si="62"/>
        <v>1.1000000000000001</v>
      </c>
      <c r="DK131">
        <v>0</v>
      </c>
      <c r="DL131" t="s">
        <v>3</v>
      </c>
      <c r="DM131">
        <v>0</v>
      </c>
      <c r="DN131" t="s">
        <v>3</v>
      </c>
      <c r="DO131">
        <v>0</v>
      </c>
    </row>
    <row r="132" spans="1:119" x14ac:dyDescent="0.2">
      <c r="A132">
        <f>ROW(Source!A159)</f>
        <v>159</v>
      </c>
      <c r="B132">
        <v>94798619</v>
      </c>
      <c r="C132">
        <v>94799470</v>
      </c>
      <c r="D132">
        <v>23129805</v>
      </c>
      <c r="E132">
        <v>1</v>
      </c>
      <c r="F132">
        <v>1</v>
      </c>
      <c r="G132">
        <v>1</v>
      </c>
      <c r="H132">
        <v>1</v>
      </c>
      <c r="I132" t="s">
        <v>703</v>
      </c>
      <c r="J132" t="s">
        <v>3</v>
      </c>
      <c r="K132" t="s">
        <v>704</v>
      </c>
      <c r="L132">
        <v>1369</v>
      </c>
      <c r="N132">
        <v>1013</v>
      </c>
      <c r="O132" t="s">
        <v>696</v>
      </c>
      <c r="P132" t="s">
        <v>696</v>
      </c>
      <c r="Q132">
        <v>1</v>
      </c>
      <c r="W132">
        <v>0</v>
      </c>
      <c r="X132">
        <v>756115135</v>
      </c>
      <c r="Y132">
        <f t="shared" si="38"/>
        <v>77.39</v>
      </c>
      <c r="AA132">
        <v>0</v>
      </c>
      <c r="AB132">
        <v>0</v>
      </c>
      <c r="AC132">
        <v>0</v>
      </c>
      <c r="AD132">
        <v>7.97</v>
      </c>
      <c r="AE132">
        <v>0</v>
      </c>
      <c r="AF132">
        <v>0</v>
      </c>
      <c r="AG132">
        <v>0</v>
      </c>
      <c r="AH132">
        <v>7.97</v>
      </c>
      <c r="AI132">
        <v>1</v>
      </c>
      <c r="AJ132">
        <v>1</v>
      </c>
      <c r="AK132">
        <v>1</v>
      </c>
      <c r="AL132">
        <v>1</v>
      </c>
      <c r="AM132">
        <v>-2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77.39</v>
      </c>
      <c r="AU132" t="s">
        <v>3</v>
      </c>
      <c r="AV132">
        <v>1</v>
      </c>
      <c r="AW132">
        <v>2</v>
      </c>
      <c r="AX132">
        <v>94799471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U132">
        <f>ROUND(AT132*Source!I159*AH132*AL132,2)</f>
        <v>6.17</v>
      </c>
      <c r="CV132">
        <f>ROUND(Y132*Source!I159,9)</f>
        <v>0.77390000000000003</v>
      </c>
      <c r="CW132">
        <v>0</v>
      </c>
      <c r="CX132">
        <f>ROUND(Y132*Source!I159,9)</f>
        <v>0.77390000000000003</v>
      </c>
      <c r="CY132">
        <f>AD132</f>
        <v>7.97</v>
      </c>
      <c r="CZ132">
        <f>AH132</f>
        <v>7.97</v>
      </c>
      <c r="DA132">
        <f>AL132</f>
        <v>1</v>
      </c>
      <c r="DB132">
        <f t="shared" si="42"/>
        <v>616.79999999999995</v>
      </c>
      <c r="DC132">
        <f t="shared" si="43"/>
        <v>0</v>
      </c>
      <c r="DD132" t="s">
        <v>3</v>
      </c>
      <c r="DE132" t="s">
        <v>3</v>
      </c>
      <c r="DF132">
        <f>ROUND(ROUND(AE132,2)*CX132,2)</f>
        <v>0</v>
      </c>
      <c r="DG132">
        <f t="shared" si="60"/>
        <v>0</v>
      </c>
      <c r="DH132">
        <f t="shared" si="61"/>
        <v>0</v>
      </c>
      <c r="DI132">
        <f t="shared" si="63"/>
        <v>6.17</v>
      </c>
      <c r="DJ132">
        <f>DI132</f>
        <v>6.17</v>
      </c>
      <c r="DK132">
        <v>0</v>
      </c>
      <c r="DL132" t="s">
        <v>3</v>
      </c>
      <c r="DM132">
        <v>0</v>
      </c>
      <c r="DN132" t="s">
        <v>3</v>
      </c>
      <c r="DO132">
        <v>0</v>
      </c>
    </row>
    <row r="133" spans="1:119" x14ac:dyDescent="0.2">
      <c r="A133">
        <f>ROW(Source!A159)</f>
        <v>159</v>
      </c>
      <c r="B133">
        <v>94798619</v>
      </c>
      <c r="C133">
        <v>94799470</v>
      </c>
      <c r="D133">
        <v>37802657</v>
      </c>
      <c r="E133">
        <v>1</v>
      </c>
      <c r="F133">
        <v>1</v>
      </c>
      <c r="G133">
        <v>1</v>
      </c>
      <c r="H133">
        <v>2</v>
      </c>
      <c r="I133" t="s">
        <v>794</v>
      </c>
      <c r="J133" t="s">
        <v>795</v>
      </c>
      <c r="K133" t="s">
        <v>796</v>
      </c>
      <c r="L133">
        <v>1368</v>
      </c>
      <c r="N133">
        <v>1011</v>
      </c>
      <c r="O133" t="s">
        <v>700</v>
      </c>
      <c r="P133" t="s">
        <v>700</v>
      </c>
      <c r="Q133">
        <v>1</v>
      </c>
      <c r="W133">
        <v>0</v>
      </c>
      <c r="X133">
        <v>1084334125</v>
      </c>
      <c r="Y133">
        <f t="shared" si="38"/>
        <v>11.6</v>
      </c>
      <c r="AA133">
        <v>0</v>
      </c>
      <c r="AB133">
        <v>51.94</v>
      </c>
      <c r="AC133">
        <v>0</v>
      </c>
      <c r="AD133">
        <v>0</v>
      </c>
      <c r="AE133">
        <v>0</v>
      </c>
      <c r="AF133">
        <v>7.55</v>
      </c>
      <c r="AG133">
        <v>0</v>
      </c>
      <c r="AH133">
        <v>0</v>
      </c>
      <c r="AI133">
        <v>1</v>
      </c>
      <c r="AJ133">
        <v>6.88</v>
      </c>
      <c r="AK133">
        <v>35.270000000000003</v>
      </c>
      <c r="AL133">
        <v>1</v>
      </c>
      <c r="AM133">
        <v>2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11.6</v>
      </c>
      <c r="AU133" t="s">
        <v>3</v>
      </c>
      <c r="AV133">
        <v>0</v>
      </c>
      <c r="AW133">
        <v>2</v>
      </c>
      <c r="AX133">
        <v>94799472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V133">
        <v>0</v>
      </c>
      <c r="CW133">
        <f>ROUND(Y133*Source!I159*DO133,9)</f>
        <v>0</v>
      </c>
      <c r="CX133">
        <f>ROUND(Y133*Source!I159,9)</f>
        <v>0.11600000000000001</v>
      </c>
      <c r="CY133">
        <f>AB133</f>
        <v>51.94</v>
      </c>
      <c r="CZ133">
        <f>AF133</f>
        <v>7.55</v>
      </c>
      <c r="DA133">
        <f>AJ133</f>
        <v>6.88</v>
      </c>
      <c r="DB133">
        <f t="shared" si="42"/>
        <v>87.58</v>
      </c>
      <c r="DC133">
        <f t="shared" si="43"/>
        <v>0</v>
      </c>
      <c r="DD133" t="s">
        <v>3</v>
      </c>
      <c r="DE133" t="s">
        <v>3</v>
      </c>
      <c r="DF133">
        <f>ROUND(ROUND(AE133,2)*CX133,2)</f>
        <v>0</v>
      </c>
      <c r="DG133">
        <f>ROUND(ROUND(AF133*AJ133,2)*CX133,2)</f>
        <v>6.03</v>
      </c>
      <c r="DH133">
        <f>ROUND(ROUND(AG133*AK133,2)*CX133,2)</f>
        <v>0</v>
      </c>
      <c r="DI133">
        <f t="shared" si="63"/>
        <v>0</v>
      </c>
      <c r="DJ133">
        <f>DG133</f>
        <v>6.03</v>
      </c>
      <c r="DK133">
        <v>0</v>
      </c>
      <c r="DL133" t="s">
        <v>3</v>
      </c>
      <c r="DM133">
        <v>0</v>
      </c>
      <c r="DN133" t="s">
        <v>3</v>
      </c>
      <c r="DO133">
        <v>0</v>
      </c>
    </row>
    <row r="134" spans="1:119" x14ac:dyDescent="0.2">
      <c r="A134">
        <f>ROW(Source!A159)</f>
        <v>159</v>
      </c>
      <c r="B134">
        <v>94798619</v>
      </c>
      <c r="C134">
        <v>94799470</v>
      </c>
      <c r="D134">
        <v>37804456</v>
      </c>
      <c r="E134">
        <v>1</v>
      </c>
      <c r="F134">
        <v>1</v>
      </c>
      <c r="G134">
        <v>1</v>
      </c>
      <c r="H134">
        <v>2</v>
      </c>
      <c r="I134" t="s">
        <v>713</v>
      </c>
      <c r="J134" t="s">
        <v>714</v>
      </c>
      <c r="K134" t="s">
        <v>715</v>
      </c>
      <c r="L134">
        <v>1368</v>
      </c>
      <c r="N134">
        <v>1011</v>
      </c>
      <c r="O134" t="s">
        <v>700</v>
      </c>
      <c r="P134" t="s">
        <v>700</v>
      </c>
      <c r="Q134">
        <v>1</v>
      </c>
      <c r="W134">
        <v>0</v>
      </c>
      <c r="X134">
        <v>-671646184</v>
      </c>
      <c r="Y134">
        <f t="shared" si="38"/>
        <v>0.34</v>
      </c>
      <c r="AA134">
        <v>0</v>
      </c>
      <c r="AB134">
        <v>1305.74</v>
      </c>
      <c r="AC134">
        <v>365.04</v>
      </c>
      <c r="AD134">
        <v>0</v>
      </c>
      <c r="AE134">
        <v>0</v>
      </c>
      <c r="AF134">
        <v>91.76</v>
      </c>
      <c r="AG134">
        <v>10.35</v>
      </c>
      <c r="AH134">
        <v>0</v>
      </c>
      <c r="AI134">
        <v>1</v>
      </c>
      <c r="AJ134">
        <v>14.23</v>
      </c>
      <c r="AK134">
        <v>35.270000000000003</v>
      </c>
      <c r="AL134">
        <v>1</v>
      </c>
      <c r="AM134">
        <v>2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0.34</v>
      </c>
      <c r="AU134" t="s">
        <v>3</v>
      </c>
      <c r="AV134">
        <v>0</v>
      </c>
      <c r="AW134">
        <v>2</v>
      </c>
      <c r="AX134">
        <v>94799473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V134">
        <v>0</v>
      </c>
      <c r="CW134">
        <f>ROUND(Y134*Source!I159*DO134,9)</f>
        <v>0</v>
      </c>
      <c r="CX134">
        <f>ROUND(Y134*Source!I159,9)</f>
        <v>3.3999999999999998E-3</v>
      </c>
      <c r="CY134">
        <f>AB134</f>
        <v>1305.74</v>
      </c>
      <c r="CZ134">
        <f>AF134</f>
        <v>91.76</v>
      </c>
      <c r="DA134">
        <f>AJ134</f>
        <v>14.23</v>
      </c>
      <c r="DB134">
        <f t="shared" si="42"/>
        <v>31.2</v>
      </c>
      <c r="DC134">
        <f t="shared" si="43"/>
        <v>3.52</v>
      </c>
      <c r="DD134" t="s">
        <v>3</v>
      </c>
      <c r="DE134" t="s">
        <v>3</v>
      </c>
      <c r="DF134">
        <f>ROUND(ROUND(AE134,2)*CX134,2)</f>
        <v>0</v>
      </c>
      <c r="DG134">
        <f>ROUND(ROUND(AF134*AJ134,2)*CX134,2)</f>
        <v>4.4400000000000004</v>
      </c>
      <c r="DH134">
        <f>ROUND(ROUND(AG134*AK134,2)*CX134,2)</f>
        <v>1.24</v>
      </c>
      <c r="DI134">
        <f t="shared" si="63"/>
        <v>0</v>
      </c>
      <c r="DJ134">
        <f>DG134</f>
        <v>4.4400000000000004</v>
      </c>
      <c r="DK134">
        <v>0</v>
      </c>
      <c r="DL134" t="s">
        <v>3</v>
      </c>
      <c r="DM134">
        <v>0</v>
      </c>
      <c r="DN134" t="s">
        <v>3</v>
      </c>
      <c r="DO134">
        <v>0</v>
      </c>
    </row>
    <row r="135" spans="1:119" x14ac:dyDescent="0.2">
      <c r="A135">
        <f>ROW(Source!A159)</f>
        <v>159</v>
      </c>
      <c r="B135">
        <v>94798619</v>
      </c>
      <c r="C135">
        <v>94799470</v>
      </c>
      <c r="D135">
        <v>37736612</v>
      </c>
      <c r="E135">
        <v>1</v>
      </c>
      <c r="F135">
        <v>1</v>
      </c>
      <c r="G135">
        <v>1</v>
      </c>
      <c r="H135">
        <v>3</v>
      </c>
      <c r="I135" t="s">
        <v>736</v>
      </c>
      <c r="J135" t="s">
        <v>737</v>
      </c>
      <c r="K135" t="s">
        <v>738</v>
      </c>
      <c r="L135">
        <v>1348</v>
      </c>
      <c r="N135">
        <v>1009</v>
      </c>
      <c r="O135" t="s">
        <v>170</v>
      </c>
      <c r="P135" t="s">
        <v>170</v>
      </c>
      <c r="Q135">
        <v>1000</v>
      </c>
      <c r="W135">
        <v>0</v>
      </c>
      <c r="X135">
        <v>950208609</v>
      </c>
      <c r="Y135">
        <f t="shared" si="38"/>
        <v>0.02</v>
      </c>
      <c r="AA135">
        <v>148428</v>
      </c>
      <c r="AB135">
        <v>0</v>
      </c>
      <c r="AC135">
        <v>0</v>
      </c>
      <c r="AD135">
        <v>0</v>
      </c>
      <c r="AE135">
        <v>9424</v>
      </c>
      <c r="AF135">
        <v>0</v>
      </c>
      <c r="AG135">
        <v>0</v>
      </c>
      <c r="AH135">
        <v>0</v>
      </c>
      <c r="AI135">
        <v>15.75</v>
      </c>
      <c r="AJ135">
        <v>1</v>
      </c>
      <c r="AK135">
        <v>1</v>
      </c>
      <c r="AL135">
        <v>1</v>
      </c>
      <c r="AM135">
        <v>2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</v>
      </c>
      <c r="AT135">
        <v>0.02</v>
      </c>
      <c r="AU135" t="s">
        <v>3</v>
      </c>
      <c r="AV135">
        <v>0</v>
      </c>
      <c r="AW135">
        <v>2</v>
      </c>
      <c r="AX135">
        <v>94799474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V135">
        <v>0</v>
      </c>
      <c r="CW135">
        <v>0</v>
      </c>
      <c r="CX135">
        <f>ROUND(Y135*Source!I159,9)</f>
        <v>2.0000000000000001E-4</v>
      </c>
      <c r="CY135">
        <f>AA135</f>
        <v>148428</v>
      </c>
      <c r="CZ135">
        <f>AE135</f>
        <v>9424</v>
      </c>
      <c r="DA135">
        <f>AI135</f>
        <v>15.75</v>
      </c>
      <c r="DB135">
        <f t="shared" si="42"/>
        <v>188.48</v>
      </c>
      <c r="DC135">
        <f t="shared" si="43"/>
        <v>0</v>
      </c>
      <c r="DD135" t="s">
        <v>3</v>
      </c>
      <c r="DE135" t="s">
        <v>3</v>
      </c>
      <c r="DF135">
        <f>ROUND(ROUND(AE135*AI135,2)*CX135,2)</f>
        <v>29.69</v>
      </c>
      <c r="DG135">
        <f>ROUND(ROUND(AF135,2)*CX135,2)</f>
        <v>0</v>
      </c>
      <c r="DH135">
        <f>ROUND(ROUND(AG135,2)*CX135,2)</f>
        <v>0</v>
      </c>
      <c r="DI135">
        <f t="shared" si="63"/>
        <v>0</v>
      </c>
      <c r="DJ135">
        <f>DF135</f>
        <v>29.69</v>
      </c>
      <c r="DK135">
        <v>0</v>
      </c>
      <c r="DL135" t="s">
        <v>3</v>
      </c>
      <c r="DM135">
        <v>0</v>
      </c>
      <c r="DN135" t="s">
        <v>3</v>
      </c>
      <c r="DO135">
        <v>0</v>
      </c>
    </row>
    <row r="136" spans="1:119" x14ac:dyDescent="0.2">
      <c r="A136">
        <f>ROW(Source!A159)</f>
        <v>159</v>
      </c>
      <c r="B136">
        <v>94798619</v>
      </c>
      <c r="C136">
        <v>94799470</v>
      </c>
      <c r="D136">
        <v>37750135</v>
      </c>
      <c r="E136">
        <v>1</v>
      </c>
      <c r="F136">
        <v>1</v>
      </c>
      <c r="G136">
        <v>1</v>
      </c>
      <c r="H136">
        <v>3</v>
      </c>
      <c r="I136" t="s">
        <v>266</v>
      </c>
      <c r="J136" t="s">
        <v>268</v>
      </c>
      <c r="K136" t="s">
        <v>267</v>
      </c>
      <c r="L136">
        <v>1354</v>
      </c>
      <c r="N136">
        <v>1010</v>
      </c>
      <c r="O136" t="s">
        <v>47</v>
      </c>
      <c r="P136" t="s">
        <v>47</v>
      </c>
      <c r="Q136">
        <v>1</v>
      </c>
      <c r="W136">
        <v>0</v>
      </c>
      <c r="X136">
        <v>1701235747</v>
      </c>
      <c r="Y136">
        <f t="shared" si="38"/>
        <v>100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M136">
        <v>0</v>
      </c>
      <c r="AN136">
        <v>0</v>
      </c>
      <c r="AO136">
        <v>0</v>
      </c>
      <c r="AP136">
        <v>1</v>
      </c>
      <c r="AQ136">
        <v>0</v>
      </c>
      <c r="AR136">
        <v>0</v>
      </c>
      <c r="AS136" t="s">
        <v>3</v>
      </c>
      <c r="AT136">
        <v>100</v>
      </c>
      <c r="AU136" t="s">
        <v>3</v>
      </c>
      <c r="AV136">
        <v>0</v>
      </c>
      <c r="AW136">
        <v>2</v>
      </c>
      <c r="AX136">
        <v>94799475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V136">
        <v>0</v>
      </c>
      <c r="CW136">
        <v>0</v>
      </c>
      <c r="CX136">
        <f>ROUND(Y136*Source!I159,9)</f>
        <v>1</v>
      </c>
      <c r="CY136">
        <f>AA136</f>
        <v>0</v>
      </c>
      <c r="CZ136">
        <f>AE136</f>
        <v>0</v>
      </c>
      <c r="DA136">
        <f>AI136</f>
        <v>1</v>
      </c>
      <c r="DB136">
        <f t="shared" si="42"/>
        <v>0</v>
      </c>
      <c r="DC136">
        <f t="shared" si="43"/>
        <v>0</v>
      </c>
      <c r="DD136" t="s">
        <v>3</v>
      </c>
      <c r="DE136" t="s">
        <v>3</v>
      </c>
      <c r="DF136">
        <f t="shared" ref="DF136:DF145" si="64">ROUND(ROUND(AE136,2)*CX136,2)</f>
        <v>0</v>
      </c>
      <c r="DG136">
        <f>ROUND(ROUND(AF136,2)*CX136,2)</f>
        <v>0</v>
      </c>
      <c r="DH136">
        <f>ROUND(ROUND(AG136,2)*CX136,2)</f>
        <v>0</v>
      </c>
      <c r="DI136">
        <f t="shared" si="63"/>
        <v>0</v>
      </c>
      <c r="DJ136">
        <f>DF136</f>
        <v>0</v>
      </c>
      <c r="DK136">
        <v>0</v>
      </c>
      <c r="DL136" t="s">
        <v>3</v>
      </c>
      <c r="DM136">
        <v>0</v>
      </c>
      <c r="DN136" t="s">
        <v>3</v>
      </c>
      <c r="DO136">
        <v>0</v>
      </c>
    </row>
    <row r="137" spans="1:119" x14ac:dyDescent="0.2">
      <c r="A137">
        <f>ROW(Source!A247)</f>
        <v>247</v>
      </c>
      <c r="B137">
        <v>94798619</v>
      </c>
      <c r="C137">
        <v>94799800</v>
      </c>
      <c r="D137">
        <v>23129555</v>
      </c>
      <c r="E137">
        <v>1</v>
      </c>
      <c r="F137">
        <v>1</v>
      </c>
      <c r="G137">
        <v>1</v>
      </c>
      <c r="H137">
        <v>1</v>
      </c>
      <c r="I137" t="s">
        <v>701</v>
      </c>
      <c r="J137" t="s">
        <v>3</v>
      </c>
      <c r="K137" t="s">
        <v>702</v>
      </c>
      <c r="L137">
        <v>1369</v>
      </c>
      <c r="N137">
        <v>1013</v>
      </c>
      <c r="O137" t="s">
        <v>696</v>
      </c>
      <c r="P137" t="s">
        <v>696</v>
      </c>
      <c r="Q137">
        <v>1</v>
      </c>
      <c r="W137">
        <v>0</v>
      </c>
      <c r="X137">
        <v>1250814213</v>
      </c>
      <c r="Y137">
        <f t="shared" si="38"/>
        <v>118</v>
      </c>
      <c r="AA137">
        <v>0</v>
      </c>
      <c r="AB137">
        <v>0</v>
      </c>
      <c r="AC137">
        <v>0</v>
      </c>
      <c r="AD137">
        <v>7.29</v>
      </c>
      <c r="AE137">
        <v>0</v>
      </c>
      <c r="AF137">
        <v>0</v>
      </c>
      <c r="AG137">
        <v>0</v>
      </c>
      <c r="AH137">
        <v>7.29</v>
      </c>
      <c r="AI137">
        <v>1</v>
      </c>
      <c r="AJ137">
        <v>1</v>
      </c>
      <c r="AK137">
        <v>1</v>
      </c>
      <c r="AL137">
        <v>1</v>
      </c>
      <c r="AM137">
        <v>-2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118</v>
      </c>
      <c r="AU137" t="s">
        <v>3</v>
      </c>
      <c r="AV137">
        <v>1</v>
      </c>
      <c r="AW137">
        <v>2</v>
      </c>
      <c r="AX137">
        <v>94799801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U137">
        <f>ROUND(AT137*Source!I247*AH137*AL137,2)</f>
        <v>23.74</v>
      </c>
      <c r="CV137">
        <f>ROUND(Y137*Source!I247,9)</f>
        <v>3.2568000000000001</v>
      </c>
      <c r="CW137">
        <v>0</v>
      </c>
      <c r="CX137">
        <f>ROUND(Y137*Source!I247,9)</f>
        <v>3.2568000000000001</v>
      </c>
      <c r="CY137">
        <f>AD137</f>
        <v>7.29</v>
      </c>
      <c r="CZ137">
        <f>AH137</f>
        <v>7.29</v>
      </c>
      <c r="DA137">
        <f>AL137</f>
        <v>1</v>
      </c>
      <c r="DB137">
        <f t="shared" si="42"/>
        <v>860.22</v>
      </c>
      <c r="DC137">
        <f t="shared" si="43"/>
        <v>0</v>
      </c>
      <c r="DD137" t="s">
        <v>3</v>
      </c>
      <c r="DE137" t="s">
        <v>3</v>
      </c>
      <c r="DF137">
        <f t="shared" si="64"/>
        <v>0</v>
      </c>
      <c r="DG137">
        <f>ROUND(ROUND(AF137,2)*CX137,2)</f>
        <v>0</v>
      </c>
      <c r="DH137">
        <f>ROUND(ROUND(AG137,2)*CX137,2)</f>
        <v>0</v>
      </c>
      <c r="DI137">
        <f t="shared" si="63"/>
        <v>23.74</v>
      </c>
      <c r="DJ137">
        <f>DI137</f>
        <v>23.74</v>
      </c>
      <c r="DK137">
        <v>0</v>
      </c>
      <c r="DL137" t="s">
        <v>3</v>
      </c>
      <c r="DM137">
        <v>0</v>
      </c>
      <c r="DN137" t="s">
        <v>3</v>
      </c>
      <c r="DO137">
        <v>0</v>
      </c>
    </row>
    <row r="138" spans="1:119" x14ac:dyDescent="0.2">
      <c r="A138">
        <f>ROW(Source!A248)</f>
        <v>248</v>
      </c>
      <c r="B138">
        <v>94798619</v>
      </c>
      <c r="C138">
        <v>94799802</v>
      </c>
      <c r="D138">
        <v>23135960</v>
      </c>
      <c r="E138">
        <v>1</v>
      </c>
      <c r="F138">
        <v>1</v>
      </c>
      <c r="G138">
        <v>1</v>
      </c>
      <c r="H138">
        <v>1</v>
      </c>
      <c r="I138" t="s">
        <v>867</v>
      </c>
      <c r="J138" t="s">
        <v>3</v>
      </c>
      <c r="K138" t="s">
        <v>868</v>
      </c>
      <c r="L138">
        <v>1369</v>
      </c>
      <c r="N138">
        <v>1013</v>
      </c>
      <c r="O138" t="s">
        <v>696</v>
      </c>
      <c r="P138" t="s">
        <v>696</v>
      </c>
      <c r="Q138">
        <v>1</v>
      </c>
      <c r="W138">
        <v>0</v>
      </c>
      <c r="X138">
        <v>-486278812</v>
      </c>
      <c r="Y138">
        <f t="shared" si="38"/>
        <v>53.56</v>
      </c>
      <c r="AA138">
        <v>0</v>
      </c>
      <c r="AB138">
        <v>0</v>
      </c>
      <c r="AC138">
        <v>0</v>
      </c>
      <c r="AD138">
        <v>7.01</v>
      </c>
      <c r="AE138">
        <v>0</v>
      </c>
      <c r="AF138">
        <v>0</v>
      </c>
      <c r="AG138">
        <v>0</v>
      </c>
      <c r="AH138">
        <v>7.01</v>
      </c>
      <c r="AI138">
        <v>1</v>
      </c>
      <c r="AJ138">
        <v>1</v>
      </c>
      <c r="AK138">
        <v>1</v>
      </c>
      <c r="AL138">
        <v>1</v>
      </c>
      <c r="AM138">
        <v>-2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53.56</v>
      </c>
      <c r="AU138" t="s">
        <v>3</v>
      </c>
      <c r="AV138">
        <v>1</v>
      </c>
      <c r="AW138">
        <v>2</v>
      </c>
      <c r="AX138">
        <v>94799803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U138">
        <f>ROUND(AT138*Source!I248*AH138*AL138,2)</f>
        <v>10.36</v>
      </c>
      <c r="CV138">
        <f>ROUND(Y138*Source!I248,9)</f>
        <v>1.478256</v>
      </c>
      <c r="CW138">
        <v>0</v>
      </c>
      <c r="CX138">
        <f>ROUND(Y138*Source!I248,9)</f>
        <v>1.478256</v>
      </c>
      <c r="CY138">
        <f>AD138</f>
        <v>7.01</v>
      </c>
      <c r="CZ138">
        <f>AH138</f>
        <v>7.01</v>
      </c>
      <c r="DA138">
        <f>AL138</f>
        <v>1</v>
      </c>
      <c r="DB138">
        <f t="shared" si="42"/>
        <v>375.46</v>
      </c>
      <c r="DC138">
        <f t="shared" si="43"/>
        <v>0</v>
      </c>
      <c r="DD138" t="s">
        <v>3</v>
      </c>
      <c r="DE138" t="s">
        <v>3</v>
      </c>
      <c r="DF138">
        <f t="shared" si="64"/>
        <v>0</v>
      </c>
      <c r="DG138">
        <f>ROUND(ROUND(AF138,2)*CX138,2)</f>
        <v>0</v>
      </c>
      <c r="DH138">
        <f>ROUND(ROUND(AG138,2)*CX138,2)</f>
        <v>0</v>
      </c>
      <c r="DI138">
        <f t="shared" si="63"/>
        <v>10.36</v>
      </c>
      <c r="DJ138">
        <f>DI138</f>
        <v>10.36</v>
      </c>
      <c r="DK138">
        <v>0</v>
      </c>
      <c r="DL138" t="s">
        <v>3</v>
      </c>
      <c r="DM138">
        <v>0</v>
      </c>
      <c r="DN138" t="s">
        <v>3</v>
      </c>
      <c r="DO138">
        <v>0</v>
      </c>
    </row>
    <row r="139" spans="1:119" x14ac:dyDescent="0.2">
      <c r="A139">
        <f>ROW(Source!A249)</f>
        <v>249</v>
      </c>
      <c r="B139">
        <v>94798619</v>
      </c>
      <c r="C139">
        <v>94799804</v>
      </c>
      <c r="D139">
        <v>37804464</v>
      </c>
      <c r="E139">
        <v>1</v>
      </c>
      <c r="F139">
        <v>1</v>
      </c>
      <c r="G139">
        <v>1</v>
      </c>
      <c r="H139">
        <v>2</v>
      </c>
      <c r="I139" t="s">
        <v>869</v>
      </c>
      <c r="J139" t="s">
        <v>870</v>
      </c>
      <c r="K139" t="s">
        <v>871</v>
      </c>
      <c r="L139">
        <v>1368</v>
      </c>
      <c r="N139">
        <v>1011</v>
      </c>
      <c r="O139" t="s">
        <v>700</v>
      </c>
      <c r="P139" t="s">
        <v>700</v>
      </c>
      <c r="Q139">
        <v>1</v>
      </c>
      <c r="W139">
        <v>0</v>
      </c>
      <c r="X139">
        <v>1267185835</v>
      </c>
      <c r="Y139">
        <f t="shared" si="38"/>
        <v>5.9499999999999997E-2</v>
      </c>
      <c r="AA139">
        <v>0</v>
      </c>
      <c r="AB139">
        <v>1625.86</v>
      </c>
      <c r="AC139">
        <v>426.77</v>
      </c>
      <c r="AD139">
        <v>0</v>
      </c>
      <c r="AE139">
        <v>0</v>
      </c>
      <c r="AF139">
        <v>104.49</v>
      </c>
      <c r="AG139">
        <v>12.1</v>
      </c>
      <c r="AH139">
        <v>0</v>
      </c>
      <c r="AI139">
        <v>1</v>
      </c>
      <c r="AJ139">
        <v>15.56</v>
      </c>
      <c r="AK139">
        <v>35.270000000000003</v>
      </c>
      <c r="AL139">
        <v>1</v>
      </c>
      <c r="AM139">
        <v>2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5.9499999999999997E-2</v>
      </c>
      <c r="AU139" t="s">
        <v>3</v>
      </c>
      <c r="AV139">
        <v>0</v>
      </c>
      <c r="AW139">
        <v>2</v>
      </c>
      <c r="AX139">
        <v>94799805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V139">
        <v>0</v>
      </c>
      <c r="CW139">
        <f>ROUND(Y139*Source!I249*DO139,9)</f>
        <v>0</v>
      </c>
      <c r="CX139">
        <f>ROUND(Y139*Source!I249,9)</f>
        <v>0.287385</v>
      </c>
      <c r="CY139">
        <f>AB139</f>
        <v>1625.86</v>
      </c>
      <c r="CZ139">
        <f>AF139</f>
        <v>104.49</v>
      </c>
      <c r="DA139">
        <f>AJ139</f>
        <v>15.56</v>
      </c>
      <c r="DB139">
        <f t="shared" si="42"/>
        <v>6.22</v>
      </c>
      <c r="DC139">
        <f t="shared" si="43"/>
        <v>0.72</v>
      </c>
      <c r="DD139" t="s">
        <v>3</v>
      </c>
      <c r="DE139" t="s">
        <v>3</v>
      </c>
      <c r="DF139">
        <f t="shared" si="64"/>
        <v>0</v>
      </c>
      <c r="DG139">
        <f>ROUND(ROUND(AF139*AJ139,2)*CX139,2)</f>
        <v>467.25</v>
      </c>
      <c r="DH139">
        <f>ROUND(ROUND(AG139*AK139,2)*CX139,2)</f>
        <v>122.65</v>
      </c>
      <c r="DI139">
        <f t="shared" si="63"/>
        <v>0</v>
      </c>
      <c r="DJ139">
        <f>DG139</f>
        <v>467.25</v>
      </c>
      <c r="DK139">
        <v>0</v>
      </c>
      <c r="DL139" t="s">
        <v>3</v>
      </c>
      <c r="DM139">
        <v>0</v>
      </c>
      <c r="DN139" t="s">
        <v>3</v>
      </c>
      <c r="DO139">
        <v>0</v>
      </c>
    </row>
    <row r="140" spans="1:119" x14ac:dyDescent="0.2">
      <c r="A140">
        <f>ROW(Source!A250)</f>
        <v>250</v>
      </c>
      <c r="B140">
        <v>94798619</v>
      </c>
      <c r="C140">
        <v>94799806</v>
      </c>
      <c r="D140">
        <v>23131038</v>
      </c>
      <c r="E140">
        <v>1</v>
      </c>
      <c r="F140">
        <v>1</v>
      </c>
      <c r="G140">
        <v>1</v>
      </c>
      <c r="H140">
        <v>1</v>
      </c>
      <c r="I140" t="s">
        <v>872</v>
      </c>
      <c r="J140" t="s">
        <v>3</v>
      </c>
      <c r="K140" t="s">
        <v>873</v>
      </c>
      <c r="L140">
        <v>1369</v>
      </c>
      <c r="N140">
        <v>1013</v>
      </c>
      <c r="O140" t="s">
        <v>696</v>
      </c>
      <c r="P140" t="s">
        <v>696</v>
      </c>
      <c r="Q140">
        <v>1</v>
      </c>
      <c r="W140">
        <v>0</v>
      </c>
      <c r="X140">
        <v>-1903398286</v>
      </c>
      <c r="Y140">
        <f t="shared" si="38"/>
        <v>15.72</v>
      </c>
      <c r="AA140">
        <v>0</v>
      </c>
      <c r="AB140">
        <v>0</v>
      </c>
      <c r="AC140">
        <v>0</v>
      </c>
      <c r="AD140">
        <v>7.49</v>
      </c>
      <c r="AE140">
        <v>0</v>
      </c>
      <c r="AF140">
        <v>0</v>
      </c>
      <c r="AG140">
        <v>0</v>
      </c>
      <c r="AH140">
        <v>7.49</v>
      </c>
      <c r="AI140">
        <v>1</v>
      </c>
      <c r="AJ140">
        <v>1</v>
      </c>
      <c r="AK140">
        <v>1</v>
      </c>
      <c r="AL140">
        <v>1</v>
      </c>
      <c r="AM140">
        <v>-2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15.72</v>
      </c>
      <c r="AU140" t="s">
        <v>3</v>
      </c>
      <c r="AV140">
        <v>1</v>
      </c>
      <c r="AW140">
        <v>2</v>
      </c>
      <c r="AX140">
        <v>94799807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U140">
        <f>ROUND(AT140*Source!I250*AH140*AL140,2)</f>
        <v>2.44</v>
      </c>
      <c r="CV140">
        <f>ROUND(Y140*Source!I250,9)</f>
        <v>0.32540400000000003</v>
      </c>
      <c r="CW140">
        <v>0</v>
      </c>
      <c r="CX140">
        <f>ROUND(Y140*Source!I250,9)</f>
        <v>0.32540400000000003</v>
      </c>
      <c r="CY140">
        <f>AD140</f>
        <v>7.49</v>
      </c>
      <c r="CZ140">
        <f>AH140</f>
        <v>7.49</v>
      </c>
      <c r="DA140">
        <f>AL140</f>
        <v>1</v>
      </c>
      <c r="DB140">
        <f t="shared" si="42"/>
        <v>117.74</v>
      </c>
      <c r="DC140">
        <f t="shared" si="43"/>
        <v>0</v>
      </c>
      <c r="DD140" t="s">
        <v>3</v>
      </c>
      <c r="DE140" t="s">
        <v>3</v>
      </c>
      <c r="DF140">
        <f t="shared" si="64"/>
        <v>0</v>
      </c>
      <c r="DG140">
        <f>ROUND(ROUND(AF140,2)*CX140,2)</f>
        <v>0</v>
      </c>
      <c r="DH140">
        <f>ROUND(ROUND(AG140,2)*CX140,2)</f>
        <v>0</v>
      </c>
      <c r="DI140">
        <f t="shared" si="63"/>
        <v>2.44</v>
      </c>
      <c r="DJ140">
        <f>DI140</f>
        <v>2.44</v>
      </c>
      <c r="DK140">
        <v>0</v>
      </c>
      <c r="DL140" t="s">
        <v>3</v>
      </c>
      <c r="DM140">
        <v>0</v>
      </c>
      <c r="DN140" t="s">
        <v>3</v>
      </c>
      <c r="DO140">
        <v>0</v>
      </c>
    </row>
    <row r="141" spans="1:119" x14ac:dyDescent="0.2">
      <c r="A141">
        <f>ROW(Source!A250)</f>
        <v>250</v>
      </c>
      <c r="B141">
        <v>94798619</v>
      </c>
      <c r="C141">
        <v>94799806</v>
      </c>
      <c r="D141">
        <v>121548</v>
      </c>
      <c r="E141">
        <v>1</v>
      </c>
      <c r="F141">
        <v>1</v>
      </c>
      <c r="G141">
        <v>1</v>
      </c>
      <c r="H141">
        <v>1</v>
      </c>
      <c r="I141" t="s">
        <v>28</v>
      </c>
      <c r="J141" t="s">
        <v>3</v>
      </c>
      <c r="K141" t="s">
        <v>705</v>
      </c>
      <c r="L141">
        <v>608254</v>
      </c>
      <c r="N141">
        <v>1013</v>
      </c>
      <c r="O141" t="s">
        <v>706</v>
      </c>
      <c r="P141" t="s">
        <v>706</v>
      </c>
      <c r="Q141">
        <v>1</v>
      </c>
      <c r="W141">
        <v>0</v>
      </c>
      <c r="X141">
        <v>-185737400</v>
      </c>
      <c r="Y141">
        <f t="shared" si="38"/>
        <v>14.81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1</v>
      </c>
      <c r="AJ141">
        <v>1</v>
      </c>
      <c r="AK141">
        <v>1</v>
      </c>
      <c r="AL141">
        <v>1</v>
      </c>
      <c r="AM141">
        <v>-2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14.81</v>
      </c>
      <c r="AU141" t="s">
        <v>3</v>
      </c>
      <c r="AV141">
        <v>2</v>
      </c>
      <c r="AW141">
        <v>2</v>
      </c>
      <c r="AX141">
        <v>94799808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V141">
        <v>0</v>
      </c>
      <c r="CW141">
        <v>0</v>
      </c>
      <c r="CX141">
        <f>ROUND(Y141*Source!I250,9)</f>
        <v>0.30656699999999998</v>
      </c>
      <c r="CY141">
        <f>AD141</f>
        <v>0</v>
      </c>
      <c r="CZ141">
        <f>AH141</f>
        <v>0</v>
      </c>
      <c r="DA141">
        <f>AL141</f>
        <v>1</v>
      </c>
      <c r="DB141">
        <f t="shared" si="42"/>
        <v>0</v>
      </c>
      <c r="DC141">
        <f t="shared" si="43"/>
        <v>0</v>
      </c>
      <c r="DD141" t="s">
        <v>3</v>
      </c>
      <c r="DE141" t="s">
        <v>3</v>
      </c>
      <c r="DF141">
        <f t="shared" si="64"/>
        <v>0</v>
      </c>
      <c r="DG141">
        <f>ROUND(ROUND(AF141,2)*CX141,2)</f>
        <v>0</v>
      </c>
      <c r="DH141">
        <f>ROUND(ROUND(AG141,2)*CX141,2)</f>
        <v>0</v>
      </c>
      <c r="DI141">
        <f t="shared" si="63"/>
        <v>0</v>
      </c>
      <c r="DJ141">
        <f>DI141</f>
        <v>0</v>
      </c>
      <c r="DK141">
        <v>0</v>
      </c>
      <c r="DL141" t="s">
        <v>3</v>
      </c>
      <c r="DM141">
        <v>0</v>
      </c>
      <c r="DN141" t="s">
        <v>3</v>
      </c>
      <c r="DO141">
        <v>0</v>
      </c>
    </row>
    <row r="142" spans="1:119" x14ac:dyDescent="0.2">
      <c r="A142">
        <f>ROW(Source!A250)</f>
        <v>250</v>
      </c>
      <c r="B142">
        <v>94798619</v>
      </c>
      <c r="C142">
        <v>94799806</v>
      </c>
      <c r="D142">
        <v>37802515</v>
      </c>
      <c r="E142">
        <v>1</v>
      </c>
      <c r="F142">
        <v>1</v>
      </c>
      <c r="G142">
        <v>1</v>
      </c>
      <c r="H142">
        <v>2</v>
      </c>
      <c r="I142" t="s">
        <v>774</v>
      </c>
      <c r="J142" t="s">
        <v>775</v>
      </c>
      <c r="K142" t="s">
        <v>776</v>
      </c>
      <c r="L142">
        <v>1368</v>
      </c>
      <c r="N142">
        <v>1011</v>
      </c>
      <c r="O142" t="s">
        <v>700</v>
      </c>
      <c r="P142" t="s">
        <v>700</v>
      </c>
      <c r="Q142">
        <v>1</v>
      </c>
      <c r="W142">
        <v>0</v>
      </c>
      <c r="X142">
        <v>-674318163</v>
      </c>
      <c r="Y142">
        <f t="shared" si="38"/>
        <v>4.76</v>
      </c>
      <c r="AA142">
        <v>0</v>
      </c>
      <c r="AB142">
        <v>2230.73</v>
      </c>
      <c r="AC142">
        <v>317.43</v>
      </c>
      <c r="AD142">
        <v>0</v>
      </c>
      <c r="AE142">
        <v>0</v>
      </c>
      <c r="AF142">
        <v>87.24</v>
      </c>
      <c r="AG142">
        <v>9</v>
      </c>
      <c r="AH142">
        <v>0</v>
      </c>
      <c r="AI142">
        <v>1</v>
      </c>
      <c r="AJ142">
        <v>25.57</v>
      </c>
      <c r="AK142">
        <v>35.270000000000003</v>
      </c>
      <c r="AL142">
        <v>1</v>
      </c>
      <c r="AM142">
        <v>2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</v>
      </c>
      <c r="AT142">
        <v>4.76</v>
      </c>
      <c r="AU142" t="s">
        <v>3</v>
      </c>
      <c r="AV142">
        <v>0</v>
      </c>
      <c r="AW142">
        <v>2</v>
      </c>
      <c r="AX142">
        <v>94799809</v>
      </c>
      <c r="AY142">
        <v>1</v>
      </c>
      <c r="AZ142">
        <v>0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V142">
        <v>0</v>
      </c>
      <c r="CW142">
        <f>ROUND(Y142*Source!I250*DO142,9)</f>
        <v>0</v>
      </c>
      <c r="CX142">
        <f>ROUND(Y142*Source!I250,9)</f>
        <v>9.8531999999999995E-2</v>
      </c>
      <c r="CY142">
        <f>AB142</f>
        <v>2230.73</v>
      </c>
      <c r="CZ142">
        <f>AF142</f>
        <v>87.24</v>
      </c>
      <c r="DA142">
        <f>AJ142</f>
        <v>25.57</v>
      </c>
      <c r="DB142">
        <f t="shared" si="42"/>
        <v>415.26</v>
      </c>
      <c r="DC142">
        <f t="shared" si="43"/>
        <v>42.84</v>
      </c>
      <c r="DD142" t="s">
        <v>3</v>
      </c>
      <c r="DE142" t="s">
        <v>3</v>
      </c>
      <c r="DF142">
        <f t="shared" si="64"/>
        <v>0</v>
      </c>
      <c r="DG142">
        <f>ROUND(ROUND(AF142*AJ142,2)*CX142,2)</f>
        <v>219.8</v>
      </c>
      <c r="DH142">
        <f>ROUND(ROUND(AG142*AK142,2)*CX142,2)</f>
        <v>31.28</v>
      </c>
      <c r="DI142">
        <f t="shared" si="63"/>
        <v>0</v>
      </c>
      <c r="DJ142">
        <f>DG142</f>
        <v>219.8</v>
      </c>
      <c r="DK142">
        <v>0</v>
      </c>
      <c r="DL142" t="s">
        <v>3</v>
      </c>
      <c r="DM142">
        <v>0</v>
      </c>
      <c r="DN142" t="s">
        <v>3</v>
      </c>
      <c r="DO142">
        <v>0</v>
      </c>
    </row>
    <row r="143" spans="1:119" x14ac:dyDescent="0.2">
      <c r="A143">
        <f>ROW(Source!A250)</f>
        <v>250</v>
      </c>
      <c r="B143">
        <v>94798619</v>
      </c>
      <c r="C143">
        <v>94799806</v>
      </c>
      <c r="D143">
        <v>37803022</v>
      </c>
      <c r="E143">
        <v>1</v>
      </c>
      <c r="F143">
        <v>1</v>
      </c>
      <c r="G143">
        <v>1</v>
      </c>
      <c r="H143">
        <v>2</v>
      </c>
      <c r="I143" t="s">
        <v>874</v>
      </c>
      <c r="J143" t="s">
        <v>875</v>
      </c>
      <c r="K143" t="s">
        <v>876</v>
      </c>
      <c r="L143">
        <v>1368</v>
      </c>
      <c r="N143">
        <v>1011</v>
      </c>
      <c r="O143" t="s">
        <v>700</v>
      </c>
      <c r="P143" t="s">
        <v>700</v>
      </c>
      <c r="Q143">
        <v>1</v>
      </c>
      <c r="W143">
        <v>0</v>
      </c>
      <c r="X143">
        <v>-769434373</v>
      </c>
      <c r="Y143">
        <f t="shared" si="38"/>
        <v>1.93</v>
      </c>
      <c r="AA143">
        <v>0</v>
      </c>
      <c r="AB143">
        <v>2357.37</v>
      </c>
      <c r="AC143">
        <v>426.77</v>
      </c>
      <c r="AD143">
        <v>0</v>
      </c>
      <c r="AE143">
        <v>0</v>
      </c>
      <c r="AF143">
        <v>155.09</v>
      </c>
      <c r="AG143">
        <v>12.1</v>
      </c>
      <c r="AH143">
        <v>0</v>
      </c>
      <c r="AI143">
        <v>1</v>
      </c>
      <c r="AJ143">
        <v>15.2</v>
      </c>
      <c r="AK143">
        <v>35.270000000000003</v>
      </c>
      <c r="AL143">
        <v>1</v>
      </c>
      <c r="AM143">
        <v>2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</v>
      </c>
      <c r="AT143">
        <v>1.93</v>
      </c>
      <c r="AU143" t="s">
        <v>3</v>
      </c>
      <c r="AV143">
        <v>0</v>
      </c>
      <c r="AW143">
        <v>2</v>
      </c>
      <c r="AX143">
        <v>94799810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V143">
        <v>0</v>
      </c>
      <c r="CW143">
        <f>ROUND(Y143*Source!I250*DO143,9)</f>
        <v>0</v>
      </c>
      <c r="CX143">
        <f>ROUND(Y143*Source!I250,9)</f>
        <v>3.9951E-2</v>
      </c>
      <c r="CY143">
        <f>AB143</f>
        <v>2357.37</v>
      </c>
      <c r="CZ143">
        <f>AF143</f>
        <v>155.09</v>
      </c>
      <c r="DA143">
        <f>AJ143</f>
        <v>15.2</v>
      </c>
      <c r="DB143">
        <f t="shared" si="42"/>
        <v>299.32</v>
      </c>
      <c r="DC143">
        <f t="shared" si="43"/>
        <v>23.35</v>
      </c>
      <c r="DD143" t="s">
        <v>3</v>
      </c>
      <c r="DE143" t="s">
        <v>3</v>
      </c>
      <c r="DF143">
        <f t="shared" si="64"/>
        <v>0</v>
      </c>
      <c r="DG143">
        <f>ROUND(ROUND(AF143*AJ143,2)*CX143,2)</f>
        <v>94.18</v>
      </c>
      <c r="DH143">
        <f>ROUND(ROUND(AG143*AK143,2)*CX143,2)</f>
        <v>17.05</v>
      </c>
      <c r="DI143">
        <f t="shared" si="63"/>
        <v>0</v>
      </c>
      <c r="DJ143">
        <f>DG143</f>
        <v>94.18</v>
      </c>
      <c r="DK143">
        <v>0</v>
      </c>
      <c r="DL143" t="s">
        <v>3</v>
      </c>
      <c r="DM143">
        <v>0</v>
      </c>
      <c r="DN143" t="s">
        <v>3</v>
      </c>
      <c r="DO143">
        <v>0</v>
      </c>
    </row>
    <row r="144" spans="1:119" x14ac:dyDescent="0.2">
      <c r="A144">
        <f>ROW(Source!A250)</f>
        <v>250</v>
      </c>
      <c r="B144">
        <v>94798619</v>
      </c>
      <c r="C144">
        <v>94799806</v>
      </c>
      <c r="D144">
        <v>37803059</v>
      </c>
      <c r="E144">
        <v>1</v>
      </c>
      <c r="F144">
        <v>1</v>
      </c>
      <c r="G144">
        <v>1</v>
      </c>
      <c r="H144">
        <v>2</v>
      </c>
      <c r="I144" t="s">
        <v>877</v>
      </c>
      <c r="J144" t="s">
        <v>878</v>
      </c>
      <c r="K144" t="s">
        <v>879</v>
      </c>
      <c r="L144">
        <v>1368</v>
      </c>
      <c r="N144">
        <v>1011</v>
      </c>
      <c r="O144" t="s">
        <v>700</v>
      </c>
      <c r="P144" t="s">
        <v>700</v>
      </c>
      <c r="Q144">
        <v>1</v>
      </c>
      <c r="W144">
        <v>0</v>
      </c>
      <c r="X144">
        <v>-1765436741</v>
      </c>
      <c r="Y144">
        <f t="shared" si="38"/>
        <v>7.08</v>
      </c>
      <c r="AA144">
        <v>0</v>
      </c>
      <c r="AB144">
        <v>3076.98</v>
      </c>
      <c r="AC144">
        <v>454.98</v>
      </c>
      <c r="AD144">
        <v>0</v>
      </c>
      <c r="AE144">
        <v>0</v>
      </c>
      <c r="AF144">
        <v>210.32</v>
      </c>
      <c r="AG144">
        <v>12.9</v>
      </c>
      <c r="AH144">
        <v>0</v>
      </c>
      <c r="AI144">
        <v>1</v>
      </c>
      <c r="AJ144">
        <v>14.63</v>
      </c>
      <c r="AK144">
        <v>35.270000000000003</v>
      </c>
      <c r="AL144">
        <v>1</v>
      </c>
      <c r="AM144">
        <v>2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</v>
      </c>
      <c r="AT144">
        <v>7.08</v>
      </c>
      <c r="AU144" t="s">
        <v>3</v>
      </c>
      <c r="AV144">
        <v>0</v>
      </c>
      <c r="AW144">
        <v>2</v>
      </c>
      <c r="AX144">
        <v>94799811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V144">
        <v>0</v>
      </c>
      <c r="CW144">
        <f>ROUND(Y144*Source!I250*DO144,9)</f>
        <v>0</v>
      </c>
      <c r="CX144">
        <f>ROUND(Y144*Source!I250,9)</f>
        <v>0.14655599999999999</v>
      </c>
      <c r="CY144">
        <f>AB144</f>
        <v>3076.98</v>
      </c>
      <c r="CZ144">
        <f>AF144</f>
        <v>210.32</v>
      </c>
      <c r="DA144">
        <f>AJ144</f>
        <v>14.63</v>
      </c>
      <c r="DB144">
        <f t="shared" si="42"/>
        <v>1489.07</v>
      </c>
      <c r="DC144">
        <f t="shared" si="43"/>
        <v>91.33</v>
      </c>
      <c r="DD144" t="s">
        <v>3</v>
      </c>
      <c r="DE144" t="s">
        <v>3</v>
      </c>
      <c r="DF144">
        <f t="shared" si="64"/>
        <v>0</v>
      </c>
      <c r="DG144">
        <f>ROUND(ROUND(AF144*AJ144,2)*CX144,2)</f>
        <v>450.95</v>
      </c>
      <c r="DH144">
        <f>ROUND(ROUND(AG144*AK144,2)*CX144,2)</f>
        <v>66.680000000000007</v>
      </c>
      <c r="DI144">
        <f t="shared" si="63"/>
        <v>0</v>
      </c>
      <c r="DJ144">
        <f>DG144</f>
        <v>450.95</v>
      </c>
      <c r="DK144">
        <v>0</v>
      </c>
      <c r="DL144" t="s">
        <v>3</v>
      </c>
      <c r="DM144">
        <v>0</v>
      </c>
      <c r="DN144" t="s">
        <v>3</v>
      </c>
      <c r="DO144">
        <v>0</v>
      </c>
    </row>
    <row r="145" spans="1:119" x14ac:dyDescent="0.2">
      <c r="A145">
        <f>ROW(Source!A250)</f>
        <v>250</v>
      </c>
      <c r="B145">
        <v>94798619</v>
      </c>
      <c r="C145">
        <v>94799806</v>
      </c>
      <c r="D145">
        <v>37803111</v>
      </c>
      <c r="E145">
        <v>1</v>
      </c>
      <c r="F145">
        <v>1</v>
      </c>
      <c r="G145">
        <v>1</v>
      </c>
      <c r="H145">
        <v>2</v>
      </c>
      <c r="I145" t="s">
        <v>880</v>
      </c>
      <c r="J145" t="s">
        <v>881</v>
      </c>
      <c r="K145" t="s">
        <v>882</v>
      </c>
      <c r="L145">
        <v>1368</v>
      </c>
      <c r="N145">
        <v>1011</v>
      </c>
      <c r="O145" t="s">
        <v>700</v>
      </c>
      <c r="P145" t="s">
        <v>700</v>
      </c>
      <c r="Q145">
        <v>1</v>
      </c>
      <c r="W145">
        <v>0</v>
      </c>
      <c r="X145">
        <v>1797372022</v>
      </c>
      <c r="Y145">
        <f t="shared" si="38"/>
        <v>1.04</v>
      </c>
      <c r="AA145">
        <v>0</v>
      </c>
      <c r="AB145">
        <v>1562.18</v>
      </c>
      <c r="AC145">
        <v>365.04</v>
      </c>
      <c r="AD145">
        <v>0</v>
      </c>
      <c r="AE145">
        <v>0</v>
      </c>
      <c r="AF145">
        <v>119.25</v>
      </c>
      <c r="AG145">
        <v>10.35</v>
      </c>
      <c r="AH145">
        <v>0</v>
      </c>
      <c r="AI145">
        <v>1</v>
      </c>
      <c r="AJ145">
        <v>13.1</v>
      </c>
      <c r="AK145">
        <v>35.270000000000003</v>
      </c>
      <c r="AL145">
        <v>1</v>
      </c>
      <c r="AM145">
        <v>2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1.04</v>
      </c>
      <c r="AU145" t="s">
        <v>3</v>
      </c>
      <c r="AV145">
        <v>0</v>
      </c>
      <c r="AW145">
        <v>2</v>
      </c>
      <c r="AX145">
        <v>94799812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V145">
        <v>0</v>
      </c>
      <c r="CW145">
        <f>ROUND(Y145*Source!I250*DO145,9)</f>
        <v>0</v>
      </c>
      <c r="CX145">
        <f>ROUND(Y145*Source!I250,9)</f>
        <v>2.1527999999999999E-2</v>
      </c>
      <c r="CY145">
        <f>AB145</f>
        <v>1562.18</v>
      </c>
      <c r="CZ145">
        <f>AF145</f>
        <v>119.25</v>
      </c>
      <c r="DA145">
        <f>AJ145</f>
        <v>13.1</v>
      </c>
      <c r="DB145">
        <f t="shared" si="42"/>
        <v>124.02</v>
      </c>
      <c r="DC145">
        <f t="shared" si="43"/>
        <v>10.76</v>
      </c>
      <c r="DD145" t="s">
        <v>3</v>
      </c>
      <c r="DE145" t="s">
        <v>3</v>
      </c>
      <c r="DF145">
        <f t="shared" si="64"/>
        <v>0</v>
      </c>
      <c r="DG145">
        <f>ROUND(ROUND(AF145*AJ145,2)*CX145,2)</f>
        <v>33.630000000000003</v>
      </c>
      <c r="DH145">
        <f>ROUND(ROUND(AG145*AK145,2)*CX145,2)</f>
        <v>7.86</v>
      </c>
      <c r="DI145">
        <f t="shared" si="63"/>
        <v>0</v>
      </c>
      <c r="DJ145">
        <f>DG145</f>
        <v>33.630000000000003</v>
      </c>
      <c r="DK145">
        <v>0</v>
      </c>
      <c r="DL145" t="s">
        <v>3</v>
      </c>
      <c r="DM145">
        <v>0</v>
      </c>
      <c r="DN145" t="s">
        <v>3</v>
      </c>
      <c r="DO145">
        <v>0</v>
      </c>
    </row>
    <row r="146" spans="1:119" x14ac:dyDescent="0.2">
      <c r="A146">
        <f>ROW(Source!A250)</f>
        <v>250</v>
      </c>
      <c r="B146">
        <v>94798619</v>
      </c>
      <c r="C146">
        <v>94799806</v>
      </c>
      <c r="D146">
        <v>37777457</v>
      </c>
      <c r="E146">
        <v>1</v>
      </c>
      <c r="F146">
        <v>1</v>
      </c>
      <c r="G146">
        <v>1</v>
      </c>
      <c r="H146">
        <v>3</v>
      </c>
      <c r="I146" t="s">
        <v>319</v>
      </c>
      <c r="J146" t="s">
        <v>321</v>
      </c>
      <c r="K146" t="s">
        <v>320</v>
      </c>
      <c r="L146">
        <v>1339</v>
      </c>
      <c r="N146">
        <v>1007</v>
      </c>
      <c r="O146" t="s">
        <v>52</v>
      </c>
      <c r="P146" t="s">
        <v>52</v>
      </c>
      <c r="Q146">
        <v>1</v>
      </c>
      <c r="W146">
        <v>0</v>
      </c>
      <c r="X146">
        <v>-1844095038</v>
      </c>
      <c r="Y146">
        <f t="shared" si="38"/>
        <v>0</v>
      </c>
      <c r="AA146">
        <v>1787.04</v>
      </c>
      <c r="AB146">
        <v>0</v>
      </c>
      <c r="AC146">
        <v>0</v>
      </c>
      <c r="AD146">
        <v>0</v>
      </c>
      <c r="AE146">
        <v>144</v>
      </c>
      <c r="AF146">
        <v>0</v>
      </c>
      <c r="AG146">
        <v>0</v>
      </c>
      <c r="AH146">
        <v>0</v>
      </c>
      <c r="AI146">
        <v>12.41</v>
      </c>
      <c r="AJ146">
        <v>1</v>
      </c>
      <c r="AK146">
        <v>1</v>
      </c>
      <c r="AL146">
        <v>1</v>
      </c>
      <c r="AM146">
        <v>0</v>
      </c>
      <c r="AN146">
        <v>1</v>
      </c>
      <c r="AO146">
        <v>0</v>
      </c>
      <c r="AP146">
        <v>1</v>
      </c>
      <c r="AQ146">
        <v>0</v>
      </c>
      <c r="AR146">
        <v>0</v>
      </c>
      <c r="AS146" t="s">
        <v>3</v>
      </c>
      <c r="AT146">
        <v>0</v>
      </c>
      <c r="AU146" t="s">
        <v>3</v>
      </c>
      <c r="AV146">
        <v>0</v>
      </c>
      <c r="AW146">
        <v>2</v>
      </c>
      <c r="AX146">
        <v>94799813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V146">
        <v>0</v>
      </c>
      <c r="CW146">
        <v>0</v>
      </c>
      <c r="CX146">
        <f>ROUND(Y146*Source!I250,9)</f>
        <v>0</v>
      </c>
      <c r="CY146">
        <f>AA146</f>
        <v>1787.04</v>
      </c>
      <c r="CZ146">
        <f>AE146</f>
        <v>144</v>
      </c>
      <c r="DA146">
        <f>AI146</f>
        <v>12.41</v>
      </c>
      <c r="DB146">
        <f t="shared" si="42"/>
        <v>0</v>
      </c>
      <c r="DC146">
        <f t="shared" si="43"/>
        <v>0</v>
      </c>
      <c r="DD146" t="s">
        <v>3</v>
      </c>
      <c r="DE146" t="s">
        <v>3</v>
      </c>
      <c r="DF146">
        <f>ROUND(ROUND(AE146*AI146,2)*CX146,2)</f>
        <v>0</v>
      </c>
      <c r="DG146">
        <f>ROUND(ROUND(AF146,2)*CX146,2)</f>
        <v>0</v>
      </c>
      <c r="DH146">
        <f>ROUND(ROUND(AG146,2)*CX146,2)</f>
        <v>0</v>
      </c>
      <c r="DI146">
        <f t="shared" si="63"/>
        <v>0</v>
      </c>
      <c r="DJ146">
        <f>DF146</f>
        <v>0</v>
      </c>
      <c r="DK146">
        <v>0</v>
      </c>
      <c r="DL146" t="s">
        <v>3</v>
      </c>
      <c r="DM146">
        <v>0</v>
      </c>
      <c r="DN146" t="s">
        <v>3</v>
      </c>
      <c r="DO146">
        <v>0</v>
      </c>
    </row>
    <row r="147" spans="1:119" x14ac:dyDescent="0.2">
      <c r="A147">
        <f>ROW(Source!A250)</f>
        <v>250</v>
      </c>
      <c r="B147">
        <v>94798619</v>
      </c>
      <c r="C147">
        <v>94799806</v>
      </c>
      <c r="D147">
        <v>37777802</v>
      </c>
      <c r="E147">
        <v>1</v>
      </c>
      <c r="F147">
        <v>1</v>
      </c>
      <c r="G147">
        <v>1</v>
      </c>
      <c r="H147">
        <v>3</v>
      </c>
      <c r="I147" t="s">
        <v>883</v>
      </c>
      <c r="J147" t="s">
        <v>884</v>
      </c>
      <c r="K147" t="s">
        <v>885</v>
      </c>
      <c r="L147">
        <v>1339</v>
      </c>
      <c r="N147">
        <v>1007</v>
      </c>
      <c r="O147" t="s">
        <v>52</v>
      </c>
      <c r="P147" t="s">
        <v>52</v>
      </c>
      <c r="Q147">
        <v>1</v>
      </c>
      <c r="W147">
        <v>0</v>
      </c>
      <c r="X147">
        <v>-1418712732</v>
      </c>
      <c r="Y147">
        <f t="shared" si="38"/>
        <v>7</v>
      </c>
      <c r="AA147">
        <v>19.59</v>
      </c>
      <c r="AB147">
        <v>0</v>
      </c>
      <c r="AC147">
        <v>0</v>
      </c>
      <c r="AD147">
        <v>0</v>
      </c>
      <c r="AE147">
        <v>2.4700000000000002</v>
      </c>
      <c r="AF147">
        <v>0</v>
      </c>
      <c r="AG147">
        <v>0</v>
      </c>
      <c r="AH147">
        <v>0</v>
      </c>
      <c r="AI147">
        <v>7.93</v>
      </c>
      <c r="AJ147">
        <v>1</v>
      </c>
      <c r="AK147">
        <v>1</v>
      </c>
      <c r="AL147">
        <v>1</v>
      </c>
      <c r="AM147">
        <v>2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7</v>
      </c>
      <c r="AU147" t="s">
        <v>3</v>
      </c>
      <c r="AV147">
        <v>0</v>
      </c>
      <c r="AW147">
        <v>2</v>
      </c>
      <c r="AX147">
        <v>94799814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V147">
        <v>0</v>
      </c>
      <c r="CW147">
        <v>0</v>
      </c>
      <c r="CX147">
        <f>ROUND(Y147*Source!I250,9)</f>
        <v>0.1449</v>
      </c>
      <c r="CY147">
        <f>AA147</f>
        <v>19.59</v>
      </c>
      <c r="CZ147">
        <f>AE147</f>
        <v>2.4700000000000002</v>
      </c>
      <c r="DA147">
        <f>AI147</f>
        <v>7.93</v>
      </c>
      <c r="DB147">
        <f t="shared" si="42"/>
        <v>17.29</v>
      </c>
      <c r="DC147">
        <f t="shared" si="43"/>
        <v>0</v>
      </c>
      <c r="DD147" t="s">
        <v>3</v>
      </c>
      <c r="DE147" t="s">
        <v>3</v>
      </c>
      <c r="DF147">
        <f>ROUND(ROUND(AE147*AI147,2)*CX147,2)</f>
        <v>2.84</v>
      </c>
      <c r="DG147">
        <f>ROUND(ROUND(AF147,2)*CX147,2)</f>
        <v>0</v>
      </c>
      <c r="DH147">
        <f>ROUND(ROUND(AG147,2)*CX147,2)</f>
        <v>0</v>
      </c>
      <c r="DI147">
        <f t="shared" si="63"/>
        <v>0</v>
      </c>
      <c r="DJ147">
        <f>DF147</f>
        <v>2.84</v>
      </c>
      <c r="DK147">
        <v>0</v>
      </c>
      <c r="DL147" t="s">
        <v>3</v>
      </c>
      <c r="DM147">
        <v>0</v>
      </c>
      <c r="DN147" t="s">
        <v>3</v>
      </c>
      <c r="DO147">
        <v>0</v>
      </c>
    </row>
    <row r="148" spans="1:119" x14ac:dyDescent="0.2">
      <c r="A148">
        <f>ROW(Source!A253)</f>
        <v>253</v>
      </c>
      <c r="B148">
        <v>94798619</v>
      </c>
      <c r="C148">
        <v>94799817</v>
      </c>
      <c r="D148">
        <v>23129555</v>
      </c>
      <c r="E148">
        <v>1</v>
      </c>
      <c r="F148">
        <v>1</v>
      </c>
      <c r="G148">
        <v>1</v>
      </c>
      <c r="H148">
        <v>1</v>
      </c>
      <c r="I148" t="s">
        <v>701</v>
      </c>
      <c r="J148" t="s">
        <v>3</v>
      </c>
      <c r="K148" t="s">
        <v>702</v>
      </c>
      <c r="L148">
        <v>1369</v>
      </c>
      <c r="N148">
        <v>1013</v>
      </c>
      <c r="O148" t="s">
        <v>696</v>
      </c>
      <c r="P148" t="s">
        <v>696</v>
      </c>
      <c r="Q148">
        <v>1</v>
      </c>
      <c r="W148">
        <v>0</v>
      </c>
      <c r="X148">
        <v>1250814213</v>
      </c>
      <c r="Y148">
        <f t="shared" si="38"/>
        <v>180</v>
      </c>
      <c r="AA148">
        <v>0</v>
      </c>
      <c r="AB148">
        <v>0</v>
      </c>
      <c r="AC148">
        <v>0</v>
      </c>
      <c r="AD148">
        <v>7.29</v>
      </c>
      <c r="AE148">
        <v>0</v>
      </c>
      <c r="AF148">
        <v>0</v>
      </c>
      <c r="AG148">
        <v>0</v>
      </c>
      <c r="AH148">
        <v>7.29</v>
      </c>
      <c r="AI148">
        <v>1</v>
      </c>
      <c r="AJ148">
        <v>1</v>
      </c>
      <c r="AK148">
        <v>1</v>
      </c>
      <c r="AL148">
        <v>1</v>
      </c>
      <c r="AM148">
        <v>-2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180</v>
      </c>
      <c r="AU148" t="s">
        <v>3</v>
      </c>
      <c r="AV148">
        <v>1</v>
      </c>
      <c r="AW148">
        <v>2</v>
      </c>
      <c r="AX148">
        <v>94799818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U148">
        <f>ROUND(AT148*Source!I253*AH148*AL148,2)</f>
        <v>36.22</v>
      </c>
      <c r="CV148">
        <f>ROUND(Y148*Source!I253,9)</f>
        <v>4.968</v>
      </c>
      <c r="CW148">
        <v>0</v>
      </c>
      <c r="CX148">
        <f>ROUND(Y148*Source!I253,9)</f>
        <v>4.968</v>
      </c>
      <c r="CY148">
        <f>AD148</f>
        <v>7.29</v>
      </c>
      <c r="CZ148">
        <f>AH148</f>
        <v>7.29</v>
      </c>
      <c r="DA148">
        <f>AL148</f>
        <v>1</v>
      </c>
      <c r="DB148">
        <f t="shared" si="42"/>
        <v>1312.2</v>
      </c>
      <c r="DC148">
        <f t="shared" si="43"/>
        <v>0</v>
      </c>
      <c r="DD148" t="s">
        <v>3</v>
      </c>
      <c r="DE148" t="s">
        <v>3</v>
      </c>
      <c r="DF148">
        <f>ROUND(ROUND(AE148,2)*CX148,2)</f>
        <v>0</v>
      </c>
      <c r="DG148">
        <f>ROUND(ROUND(AF148,2)*CX148,2)</f>
        <v>0</v>
      </c>
      <c r="DH148">
        <f>ROUND(ROUND(AG148,2)*CX148,2)</f>
        <v>0</v>
      </c>
      <c r="DI148">
        <f t="shared" si="63"/>
        <v>36.22</v>
      </c>
      <c r="DJ148">
        <f>DI148</f>
        <v>36.22</v>
      </c>
      <c r="DK148">
        <v>0</v>
      </c>
      <c r="DL148" t="s">
        <v>3</v>
      </c>
      <c r="DM148">
        <v>0</v>
      </c>
      <c r="DN148" t="s">
        <v>3</v>
      </c>
      <c r="DO148">
        <v>0</v>
      </c>
    </row>
    <row r="149" spans="1:119" x14ac:dyDescent="0.2">
      <c r="A149">
        <f>ROW(Source!A253)</f>
        <v>253</v>
      </c>
      <c r="B149">
        <v>94798619</v>
      </c>
      <c r="C149">
        <v>94799817</v>
      </c>
      <c r="D149">
        <v>121548</v>
      </c>
      <c r="E149">
        <v>1</v>
      </c>
      <c r="F149">
        <v>1</v>
      </c>
      <c r="G149">
        <v>1</v>
      </c>
      <c r="H149">
        <v>1</v>
      </c>
      <c r="I149" t="s">
        <v>28</v>
      </c>
      <c r="J149" t="s">
        <v>3</v>
      </c>
      <c r="K149" t="s">
        <v>705</v>
      </c>
      <c r="L149">
        <v>608254</v>
      </c>
      <c r="N149">
        <v>1013</v>
      </c>
      <c r="O149" t="s">
        <v>706</v>
      </c>
      <c r="P149" t="s">
        <v>706</v>
      </c>
      <c r="Q149">
        <v>1</v>
      </c>
      <c r="W149">
        <v>0</v>
      </c>
      <c r="X149">
        <v>-185737400</v>
      </c>
      <c r="Y149">
        <f t="shared" si="38"/>
        <v>18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M149">
        <v>-2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18</v>
      </c>
      <c r="AU149" t="s">
        <v>3</v>
      </c>
      <c r="AV149">
        <v>2</v>
      </c>
      <c r="AW149">
        <v>2</v>
      </c>
      <c r="AX149">
        <v>94799819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V149">
        <v>0</v>
      </c>
      <c r="CW149">
        <v>0</v>
      </c>
      <c r="CX149">
        <f>ROUND(Y149*Source!I253,9)</f>
        <v>0.49680000000000002</v>
      </c>
      <c r="CY149">
        <f>AD149</f>
        <v>0</v>
      </c>
      <c r="CZ149">
        <f>AH149</f>
        <v>0</v>
      </c>
      <c r="DA149">
        <f>AL149</f>
        <v>1</v>
      </c>
      <c r="DB149">
        <f t="shared" si="42"/>
        <v>0</v>
      </c>
      <c r="DC149">
        <f t="shared" si="43"/>
        <v>0</v>
      </c>
      <c r="DD149" t="s">
        <v>3</v>
      </c>
      <c r="DE149" t="s">
        <v>3</v>
      </c>
      <c r="DF149">
        <f>ROUND(ROUND(AE149,2)*CX149,2)</f>
        <v>0</v>
      </c>
      <c r="DG149">
        <f>ROUND(ROUND(AF149,2)*CX149,2)</f>
        <v>0</v>
      </c>
      <c r="DH149">
        <f>ROUND(ROUND(AG149,2)*CX149,2)</f>
        <v>0</v>
      </c>
      <c r="DI149">
        <f t="shared" si="63"/>
        <v>0</v>
      </c>
      <c r="DJ149">
        <f>DI149</f>
        <v>0</v>
      </c>
      <c r="DK149">
        <v>0</v>
      </c>
      <c r="DL149" t="s">
        <v>3</v>
      </c>
      <c r="DM149">
        <v>0</v>
      </c>
      <c r="DN149" t="s">
        <v>3</v>
      </c>
      <c r="DO149">
        <v>0</v>
      </c>
    </row>
    <row r="150" spans="1:119" x14ac:dyDescent="0.2">
      <c r="A150">
        <f>ROW(Source!A253)</f>
        <v>253</v>
      </c>
      <c r="B150">
        <v>94798619</v>
      </c>
      <c r="C150">
        <v>94799817</v>
      </c>
      <c r="D150">
        <v>37802359</v>
      </c>
      <c r="E150">
        <v>1</v>
      </c>
      <c r="F150">
        <v>1</v>
      </c>
      <c r="G150">
        <v>1</v>
      </c>
      <c r="H150">
        <v>2</v>
      </c>
      <c r="I150" t="s">
        <v>886</v>
      </c>
      <c r="J150" t="s">
        <v>887</v>
      </c>
      <c r="K150" t="s">
        <v>888</v>
      </c>
      <c r="L150">
        <v>1368</v>
      </c>
      <c r="N150">
        <v>1011</v>
      </c>
      <c r="O150" t="s">
        <v>700</v>
      </c>
      <c r="P150" t="s">
        <v>700</v>
      </c>
      <c r="Q150">
        <v>1</v>
      </c>
      <c r="W150">
        <v>0</v>
      </c>
      <c r="X150">
        <v>1604115853</v>
      </c>
      <c r="Y150">
        <f t="shared" si="38"/>
        <v>18</v>
      </c>
      <c r="AA150">
        <v>0</v>
      </c>
      <c r="AB150">
        <v>1247.05</v>
      </c>
      <c r="AC150">
        <v>426.77</v>
      </c>
      <c r="AD150">
        <v>0</v>
      </c>
      <c r="AE150">
        <v>0</v>
      </c>
      <c r="AF150">
        <v>103.49</v>
      </c>
      <c r="AG150">
        <v>12.1</v>
      </c>
      <c r="AH150">
        <v>0</v>
      </c>
      <c r="AI150">
        <v>1</v>
      </c>
      <c r="AJ150">
        <v>12.05</v>
      </c>
      <c r="AK150">
        <v>35.270000000000003</v>
      </c>
      <c r="AL150">
        <v>1</v>
      </c>
      <c r="AM150">
        <v>2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18</v>
      </c>
      <c r="AU150" t="s">
        <v>3</v>
      </c>
      <c r="AV150">
        <v>0</v>
      </c>
      <c r="AW150">
        <v>2</v>
      </c>
      <c r="AX150">
        <v>94799820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V150">
        <v>0</v>
      </c>
      <c r="CW150">
        <f>ROUND(Y150*Source!I253*DO150,9)</f>
        <v>0</v>
      </c>
      <c r="CX150">
        <f>ROUND(Y150*Source!I253,9)</f>
        <v>0.49680000000000002</v>
      </c>
      <c r="CY150">
        <f>AB150</f>
        <v>1247.05</v>
      </c>
      <c r="CZ150">
        <f>AF150</f>
        <v>103.49</v>
      </c>
      <c r="DA150">
        <f>AJ150</f>
        <v>12.05</v>
      </c>
      <c r="DB150">
        <f t="shared" si="42"/>
        <v>1862.82</v>
      </c>
      <c r="DC150">
        <f t="shared" si="43"/>
        <v>217.8</v>
      </c>
      <c r="DD150" t="s">
        <v>3</v>
      </c>
      <c r="DE150" t="s">
        <v>3</v>
      </c>
      <c r="DF150">
        <f>ROUND(ROUND(AE150,2)*CX150,2)</f>
        <v>0</v>
      </c>
      <c r="DG150">
        <f>ROUND(ROUND(AF150*AJ150,2)*CX150,2)</f>
        <v>619.53</v>
      </c>
      <c r="DH150">
        <f>ROUND(ROUND(AG150*AK150,2)*CX150,2)</f>
        <v>212.02</v>
      </c>
      <c r="DI150">
        <f t="shared" si="63"/>
        <v>0</v>
      </c>
      <c r="DJ150">
        <f>DG150</f>
        <v>619.53</v>
      </c>
      <c r="DK150">
        <v>0</v>
      </c>
      <c r="DL150" t="s">
        <v>3</v>
      </c>
      <c r="DM150">
        <v>0</v>
      </c>
      <c r="DN150" t="s">
        <v>3</v>
      </c>
      <c r="DO150">
        <v>0</v>
      </c>
    </row>
    <row r="151" spans="1:119" x14ac:dyDescent="0.2">
      <c r="A151">
        <f>ROW(Source!A253)</f>
        <v>253</v>
      </c>
      <c r="B151">
        <v>94798619</v>
      </c>
      <c r="C151">
        <v>94799817</v>
      </c>
      <c r="D151">
        <v>37803001</v>
      </c>
      <c r="E151">
        <v>1</v>
      </c>
      <c r="F151">
        <v>1</v>
      </c>
      <c r="G151">
        <v>1</v>
      </c>
      <c r="H151">
        <v>2</v>
      </c>
      <c r="I151" t="s">
        <v>889</v>
      </c>
      <c r="J151" t="s">
        <v>890</v>
      </c>
      <c r="K151" t="s">
        <v>891</v>
      </c>
      <c r="L151">
        <v>1368</v>
      </c>
      <c r="N151">
        <v>1011</v>
      </c>
      <c r="O151" t="s">
        <v>700</v>
      </c>
      <c r="P151" t="s">
        <v>700</v>
      </c>
      <c r="Q151">
        <v>1</v>
      </c>
      <c r="W151">
        <v>0</v>
      </c>
      <c r="X151">
        <v>736086632</v>
      </c>
      <c r="Y151">
        <f t="shared" si="38"/>
        <v>48</v>
      </c>
      <c r="AA151">
        <v>0</v>
      </c>
      <c r="AB151">
        <v>6.26</v>
      </c>
      <c r="AC151">
        <v>0</v>
      </c>
      <c r="AD151">
        <v>0</v>
      </c>
      <c r="AE151">
        <v>0</v>
      </c>
      <c r="AF151">
        <v>0.66</v>
      </c>
      <c r="AG151">
        <v>0</v>
      </c>
      <c r="AH151">
        <v>0</v>
      </c>
      <c r="AI151">
        <v>1</v>
      </c>
      <c r="AJ151">
        <v>9.48</v>
      </c>
      <c r="AK151">
        <v>35.270000000000003</v>
      </c>
      <c r="AL151">
        <v>1</v>
      </c>
      <c r="AM151">
        <v>2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</v>
      </c>
      <c r="AT151">
        <v>48</v>
      </c>
      <c r="AU151" t="s">
        <v>3</v>
      </c>
      <c r="AV151">
        <v>0</v>
      </c>
      <c r="AW151">
        <v>2</v>
      </c>
      <c r="AX151">
        <v>94799821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V151">
        <v>0</v>
      </c>
      <c r="CW151">
        <f>ROUND(Y151*Source!I253*DO151,9)</f>
        <v>0</v>
      </c>
      <c r="CX151">
        <f>ROUND(Y151*Source!I253,9)</f>
        <v>1.3248</v>
      </c>
      <c r="CY151">
        <f>AB151</f>
        <v>6.26</v>
      </c>
      <c r="CZ151">
        <f>AF151</f>
        <v>0.66</v>
      </c>
      <c r="DA151">
        <f>AJ151</f>
        <v>9.48</v>
      </c>
      <c r="DB151">
        <f t="shared" si="42"/>
        <v>31.68</v>
      </c>
      <c r="DC151">
        <f t="shared" si="43"/>
        <v>0</v>
      </c>
      <c r="DD151" t="s">
        <v>3</v>
      </c>
      <c r="DE151" t="s">
        <v>3</v>
      </c>
      <c r="DF151">
        <f>ROUND(ROUND(AE151,2)*CX151,2)</f>
        <v>0</v>
      </c>
      <c r="DG151">
        <f>ROUND(ROUND(AF151*AJ151,2)*CX151,2)</f>
        <v>8.2899999999999991</v>
      </c>
      <c r="DH151">
        <f>ROUND(ROUND(AG151*AK151,2)*CX151,2)</f>
        <v>0</v>
      </c>
      <c r="DI151">
        <f t="shared" si="63"/>
        <v>0</v>
      </c>
      <c r="DJ151">
        <f>DG151</f>
        <v>8.2899999999999991</v>
      </c>
      <c r="DK151">
        <v>0</v>
      </c>
      <c r="DL151" t="s">
        <v>3</v>
      </c>
      <c r="DM151">
        <v>0</v>
      </c>
      <c r="DN151" t="s">
        <v>3</v>
      </c>
      <c r="DO151">
        <v>0</v>
      </c>
    </row>
    <row r="152" spans="1:119" x14ac:dyDescent="0.2">
      <c r="A152">
        <f>ROW(Source!A253)</f>
        <v>253</v>
      </c>
      <c r="B152">
        <v>94798619</v>
      </c>
      <c r="C152">
        <v>94799817</v>
      </c>
      <c r="D152">
        <v>37804456</v>
      </c>
      <c r="E152">
        <v>1</v>
      </c>
      <c r="F152">
        <v>1</v>
      </c>
      <c r="G152">
        <v>1</v>
      </c>
      <c r="H152">
        <v>2</v>
      </c>
      <c r="I152" t="s">
        <v>713</v>
      </c>
      <c r="J152" t="s">
        <v>714</v>
      </c>
      <c r="K152" t="s">
        <v>715</v>
      </c>
      <c r="L152">
        <v>1368</v>
      </c>
      <c r="N152">
        <v>1011</v>
      </c>
      <c r="O152" t="s">
        <v>700</v>
      </c>
      <c r="P152" t="s">
        <v>700</v>
      </c>
      <c r="Q152">
        <v>1</v>
      </c>
      <c r="W152">
        <v>0</v>
      </c>
      <c r="X152">
        <v>-671646184</v>
      </c>
      <c r="Y152">
        <f t="shared" si="38"/>
        <v>0.13</v>
      </c>
      <c r="AA152">
        <v>0</v>
      </c>
      <c r="AB152">
        <v>1305.74</v>
      </c>
      <c r="AC152">
        <v>365.04</v>
      </c>
      <c r="AD152">
        <v>0</v>
      </c>
      <c r="AE152">
        <v>0</v>
      </c>
      <c r="AF152">
        <v>91.76</v>
      </c>
      <c r="AG152">
        <v>10.35</v>
      </c>
      <c r="AH152">
        <v>0</v>
      </c>
      <c r="AI152">
        <v>1</v>
      </c>
      <c r="AJ152">
        <v>14.23</v>
      </c>
      <c r="AK152">
        <v>35.270000000000003</v>
      </c>
      <c r="AL152">
        <v>1</v>
      </c>
      <c r="AM152">
        <v>2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</v>
      </c>
      <c r="AT152">
        <v>0.13</v>
      </c>
      <c r="AU152" t="s">
        <v>3</v>
      </c>
      <c r="AV152">
        <v>0</v>
      </c>
      <c r="AW152">
        <v>2</v>
      </c>
      <c r="AX152">
        <v>94799822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V152">
        <v>0</v>
      </c>
      <c r="CW152">
        <f>ROUND(Y152*Source!I253*DO152,9)</f>
        <v>0</v>
      </c>
      <c r="CX152">
        <f>ROUND(Y152*Source!I253,9)</f>
        <v>3.588E-3</v>
      </c>
      <c r="CY152">
        <f>AB152</f>
        <v>1305.74</v>
      </c>
      <c r="CZ152">
        <f>AF152</f>
        <v>91.76</v>
      </c>
      <c r="DA152">
        <f>AJ152</f>
        <v>14.23</v>
      </c>
      <c r="DB152">
        <f t="shared" si="42"/>
        <v>11.93</v>
      </c>
      <c r="DC152">
        <f t="shared" si="43"/>
        <v>1.35</v>
      </c>
      <c r="DD152" t="s">
        <v>3</v>
      </c>
      <c r="DE152" t="s">
        <v>3</v>
      </c>
      <c r="DF152">
        <f>ROUND(ROUND(AE152,2)*CX152,2)</f>
        <v>0</v>
      </c>
      <c r="DG152">
        <f>ROUND(ROUND(AF152*AJ152,2)*CX152,2)</f>
        <v>4.68</v>
      </c>
      <c r="DH152">
        <f>ROUND(ROUND(AG152*AK152,2)*CX152,2)</f>
        <v>1.31</v>
      </c>
      <c r="DI152">
        <f t="shared" si="63"/>
        <v>0</v>
      </c>
      <c r="DJ152">
        <f>DG152</f>
        <v>4.68</v>
      </c>
      <c r="DK152">
        <v>0</v>
      </c>
      <c r="DL152" t="s">
        <v>3</v>
      </c>
      <c r="DM152">
        <v>0</v>
      </c>
      <c r="DN152" t="s">
        <v>3</v>
      </c>
      <c r="DO152">
        <v>0</v>
      </c>
    </row>
    <row r="153" spans="1:119" x14ac:dyDescent="0.2">
      <c r="A153">
        <f>ROW(Source!A253)</f>
        <v>253</v>
      </c>
      <c r="B153">
        <v>94798619</v>
      </c>
      <c r="C153">
        <v>94799817</v>
      </c>
      <c r="D153">
        <v>37730282</v>
      </c>
      <c r="E153">
        <v>1</v>
      </c>
      <c r="F153">
        <v>1</v>
      </c>
      <c r="G153">
        <v>1</v>
      </c>
      <c r="H153">
        <v>3</v>
      </c>
      <c r="I153" t="s">
        <v>892</v>
      </c>
      <c r="J153" t="s">
        <v>893</v>
      </c>
      <c r="K153" t="s">
        <v>894</v>
      </c>
      <c r="L153">
        <v>1327</v>
      </c>
      <c r="N153">
        <v>1005</v>
      </c>
      <c r="O153" t="s">
        <v>201</v>
      </c>
      <c r="P153" t="s">
        <v>201</v>
      </c>
      <c r="Q153">
        <v>1</v>
      </c>
      <c r="W153">
        <v>0</v>
      </c>
      <c r="X153">
        <v>-602309479</v>
      </c>
      <c r="Y153">
        <f t="shared" si="38"/>
        <v>250</v>
      </c>
      <c r="AA153">
        <v>52.22</v>
      </c>
      <c r="AB153">
        <v>0</v>
      </c>
      <c r="AC153">
        <v>0</v>
      </c>
      <c r="AD153">
        <v>0</v>
      </c>
      <c r="AE153">
        <v>10.199999999999999</v>
      </c>
      <c r="AF153">
        <v>0</v>
      </c>
      <c r="AG153">
        <v>0</v>
      </c>
      <c r="AH153">
        <v>0</v>
      </c>
      <c r="AI153">
        <v>5.12</v>
      </c>
      <c r="AJ153">
        <v>1</v>
      </c>
      <c r="AK153">
        <v>1</v>
      </c>
      <c r="AL153">
        <v>1</v>
      </c>
      <c r="AM153">
        <v>2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</v>
      </c>
      <c r="AT153">
        <v>250</v>
      </c>
      <c r="AU153" t="s">
        <v>3</v>
      </c>
      <c r="AV153">
        <v>0</v>
      </c>
      <c r="AW153">
        <v>2</v>
      </c>
      <c r="AX153">
        <v>94799823</v>
      </c>
      <c r="AY153">
        <v>1</v>
      </c>
      <c r="AZ153">
        <v>0</v>
      </c>
      <c r="BA153">
        <v>153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V153">
        <v>0</v>
      </c>
      <c r="CW153">
        <v>0</v>
      </c>
      <c r="CX153">
        <f>ROUND(Y153*Source!I253,9)</f>
        <v>6.9</v>
      </c>
      <c r="CY153">
        <f>AA153</f>
        <v>52.22</v>
      </c>
      <c r="CZ153">
        <f>AE153</f>
        <v>10.199999999999999</v>
      </c>
      <c r="DA153">
        <f>AI153</f>
        <v>5.12</v>
      </c>
      <c r="DB153">
        <f t="shared" si="42"/>
        <v>2550</v>
      </c>
      <c r="DC153">
        <f t="shared" si="43"/>
        <v>0</v>
      </c>
      <c r="DD153" t="s">
        <v>3</v>
      </c>
      <c r="DE153" t="s">
        <v>3</v>
      </c>
      <c r="DF153">
        <f>ROUND(ROUND(AE153*AI153,2)*CX153,2)</f>
        <v>360.32</v>
      </c>
      <c r="DG153">
        <f>ROUND(ROUND(AF153,2)*CX153,2)</f>
        <v>0</v>
      </c>
      <c r="DH153">
        <f>ROUND(ROUND(AG153,2)*CX153,2)</f>
        <v>0</v>
      </c>
      <c r="DI153">
        <f t="shared" si="63"/>
        <v>0</v>
      </c>
      <c r="DJ153">
        <f>DF153</f>
        <v>360.32</v>
      </c>
      <c r="DK153">
        <v>0</v>
      </c>
      <c r="DL153" t="s">
        <v>3</v>
      </c>
      <c r="DM153">
        <v>0</v>
      </c>
      <c r="DN153" t="s">
        <v>3</v>
      </c>
      <c r="DO153">
        <v>0</v>
      </c>
    </row>
    <row r="154" spans="1:119" x14ac:dyDescent="0.2">
      <c r="A154">
        <f>ROW(Source!A253)</f>
        <v>253</v>
      </c>
      <c r="B154">
        <v>94798619</v>
      </c>
      <c r="C154">
        <v>94799817</v>
      </c>
      <c r="D154">
        <v>37767859</v>
      </c>
      <c r="E154">
        <v>1</v>
      </c>
      <c r="F154">
        <v>1</v>
      </c>
      <c r="G154">
        <v>1</v>
      </c>
      <c r="H154">
        <v>3</v>
      </c>
      <c r="I154" t="s">
        <v>336</v>
      </c>
      <c r="J154" t="s">
        <v>338</v>
      </c>
      <c r="K154" t="s">
        <v>337</v>
      </c>
      <c r="L154">
        <v>1339</v>
      </c>
      <c r="N154">
        <v>1007</v>
      </c>
      <c r="O154" t="s">
        <v>52</v>
      </c>
      <c r="P154" t="s">
        <v>52</v>
      </c>
      <c r="Q154">
        <v>1</v>
      </c>
      <c r="W154">
        <v>1</v>
      </c>
      <c r="X154">
        <v>44938050</v>
      </c>
      <c r="Y154">
        <f t="shared" si="38"/>
        <v>-102</v>
      </c>
      <c r="AA154">
        <v>5519.36</v>
      </c>
      <c r="AB154">
        <v>0</v>
      </c>
      <c r="AC154">
        <v>0</v>
      </c>
      <c r="AD154">
        <v>0</v>
      </c>
      <c r="AE154">
        <v>512</v>
      </c>
      <c r="AF154">
        <v>0</v>
      </c>
      <c r="AG154">
        <v>0</v>
      </c>
      <c r="AH154">
        <v>0</v>
      </c>
      <c r="AI154">
        <v>10.78</v>
      </c>
      <c r="AJ154">
        <v>1</v>
      </c>
      <c r="AK154">
        <v>1</v>
      </c>
      <c r="AL154">
        <v>1</v>
      </c>
      <c r="AM154">
        <v>2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-102</v>
      </c>
      <c r="AU154" t="s">
        <v>3</v>
      </c>
      <c r="AV154">
        <v>0</v>
      </c>
      <c r="AW154">
        <v>2</v>
      </c>
      <c r="AX154">
        <v>94799824</v>
      </c>
      <c r="AY154">
        <v>1</v>
      </c>
      <c r="AZ154">
        <v>6144</v>
      </c>
      <c r="BA154">
        <v>154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V154">
        <v>0</v>
      </c>
      <c r="CW154">
        <v>0</v>
      </c>
      <c r="CX154">
        <f>ROUND(Y154*Source!I253,9)</f>
        <v>-2.8151999999999999</v>
      </c>
      <c r="CY154">
        <f>AA154</f>
        <v>5519.36</v>
      </c>
      <c r="CZ154">
        <f>AE154</f>
        <v>512</v>
      </c>
      <c r="DA154">
        <f>AI154</f>
        <v>10.78</v>
      </c>
      <c r="DB154">
        <f t="shared" si="42"/>
        <v>-52224</v>
      </c>
      <c r="DC154">
        <f t="shared" si="43"/>
        <v>0</v>
      </c>
      <c r="DD154" t="s">
        <v>3</v>
      </c>
      <c r="DE154" t="s">
        <v>3</v>
      </c>
      <c r="DF154">
        <f>ROUND(ROUND(AE154*AI154,2)*CX154,2)</f>
        <v>-15538.1</v>
      </c>
      <c r="DG154">
        <f>ROUND(ROUND(AF154,2)*CX154,2)</f>
        <v>0</v>
      </c>
      <c r="DH154">
        <f>ROUND(ROUND(AG154,2)*CX154,2)</f>
        <v>0</v>
      </c>
      <c r="DI154">
        <f t="shared" si="63"/>
        <v>0</v>
      </c>
      <c r="DJ154">
        <f>DF154</f>
        <v>-15538.1</v>
      </c>
      <c r="DK154">
        <v>0</v>
      </c>
      <c r="DL154" t="s">
        <v>3</v>
      </c>
      <c r="DM154">
        <v>0</v>
      </c>
      <c r="DN154" t="s">
        <v>3</v>
      </c>
      <c r="DO154">
        <v>0</v>
      </c>
    </row>
    <row r="155" spans="1:119" x14ac:dyDescent="0.2">
      <c r="A155">
        <f>ROW(Source!A253)</f>
        <v>253</v>
      </c>
      <c r="B155">
        <v>94798619</v>
      </c>
      <c r="C155">
        <v>94799817</v>
      </c>
      <c r="D155">
        <v>37777802</v>
      </c>
      <c r="E155">
        <v>1</v>
      </c>
      <c r="F155">
        <v>1</v>
      </c>
      <c r="G155">
        <v>1</v>
      </c>
      <c r="H155">
        <v>3</v>
      </c>
      <c r="I155" t="s">
        <v>883</v>
      </c>
      <c r="J155" t="s">
        <v>884</v>
      </c>
      <c r="K155" t="s">
        <v>885</v>
      </c>
      <c r="L155">
        <v>1339</v>
      </c>
      <c r="N155">
        <v>1007</v>
      </c>
      <c r="O155" t="s">
        <v>52</v>
      </c>
      <c r="P155" t="s">
        <v>52</v>
      </c>
      <c r="Q155">
        <v>1</v>
      </c>
      <c r="W155">
        <v>0</v>
      </c>
      <c r="X155">
        <v>-1418712732</v>
      </c>
      <c r="Y155">
        <f t="shared" ref="Y155:Y218" si="65">AT155</f>
        <v>0.2</v>
      </c>
      <c r="AA155">
        <v>19.59</v>
      </c>
      <c r="AB155">
        <v>0</v>
      </c>
      <c r="AC155">
        <v>0</v>
      </c>
      <c r="AD155">
        <v>0</v>
      </c>
      <c r="AE155">
        <v>2.4700000000000002</v>
      </c>
      <c r="AF155">
        <v>0</v>
      </c>
      <c r="AG155">
        <v>0</v>
      </c>
      <c r="AH155">
        <v>0</v>
      </c>
      <c r="AI155">
        <v>7.93</v>
      </c>
      <c r="AJ155">
        <v>1</v>
      </c>
      <c r="AK155">
        <v>1</v>
      </c>
      <c r="AL155">
        <v>1</v>
      </c>
      <c r="AM155">
        <v>2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0.2</v>
      </c>
      <c r="AU155" t="s">
        <v>3</v>
      </c>
      <c r="AV155">
        <v>0</v>
      </c>
      <c r="AW155">
        <v>2</v>
      </c>
      <c r="AX155">
        <v>94799825</v>
      </c>
      <c r="AY155">
        <v>1</v>
      </c>
      <c r="AZ155">
        <v>0</v>
      </c>
      <c r="BA155">
        <v>155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V155">
        <v>0</v>
      </c>
      <c r="CW155">
        <v>0</v>
      </c>
      <c r="CX155">
        <f>ROUND(Y155*Source!I253,9)</f>
        <v>5.5199999999999997E-3</v>
      </c>
      <c r="CY155">
        <f>AA155</f>
        <v>19.59</v>
      </c>
      <c r="CZ155">
        <f>AE155</f>
        <v>2.4700000000000002</v>
      </c>
      <c r="DA155">
        <f>AI155</f>
        <v>7.93</v>
      </c>
      <c r="DB155">
        <f t="shared" ref="DB155:DB218" si="66">ROUND(ROUND(AT155*CZ155,2),2)</f>
        <v>0.49</v>
      </c>
      <c r="DC155">
        <f t="shared" ref="DC155:DC218" si="67">ROUND(ROUND(AT155*AG155,2),2)</f>
        <v>0</v>
      </c>
      <c r="DD155" t="s">
        <v>3</v>
      </c>
      <c r="DE155" t="s">
        <v>3</v>
      </c>
      <c r="DF155">
        <f>ROUND(ROUND(AE155*AI155,2)*CX155,2)</f>
        <v>0.11</v>
      </c>
      <c r="DG155">
        <f>ROUND(ROUND(AF155,2)*CX155,2)</f>
        <v>0</v>
      </c>
      <c r="DH155">
        <f>ROUND(ROUND(AG155,2)*CX155,2)</f>
        <v>0</v>
      </c>
      <c r="DI155">
        <f t="shared" si="63"/>
        <v>0</v>
      </c>
      <c r="DJ155">
        <f>DF155</f>
        <v>0.11</v>
      </c>
      <c r="DK155">
        <v>0</v>
      </c>
      <c r="DL155" t="s">
        <v>3</v>
      </c>
      <c r="DM155">
        <v>0</v>
      </c>
      <c r="DN155" t="s">
        <v>3</v>
      </c>
      <c r="DO155">
        <v>0</v>
      </c>
    </row>
    <row r="156" spans="1:119" x14ac:dyDescent="0.2">
      <c r="A156">
        <f>ROW(Source!A256)</f>
        <v>256</v>
      </c>
      <c r="B156">
        <v>94798619</v>
      </c>
      <c r="C156">
        <v>94799828</v>
      </c>
      <c r="D156">
        <v>23129536</v>
      </c>
      <c r="E156">
        <v>1</v>
      </c>
      <c r="F156">
        <v>1</v>
      </c>
      <c r="G156">
        <v>1</v>
      </c>
      <c r="H156">
        <v>1</v>
      </c>
      <c r="I156" t="s">
        <v>895</v>
      </c>
      <c r="J156" t="s">
        <v>3</v>
      </c>
      <c r="K156" t="s">
        <v>896</v>
      </c>
      <c r="L156">
        <v>1369</v>
      </c>
      <c r="N156">
        <v>1013</v>
      </c>
      <c r="O156" t="s">
        <v>696</v>
      </c>
      <c r="P156" t="s">
        <v>696</v>
      </c>
      <c r="Q156">
        <v>1</v>
      </c>
      <c r="W156">
        <v>0</v>
      </c>
      <c r="X156">
        <v>1663406391</v>
      </c>
      <c r="Y156">
        <f t="shared" si="65"/>
        <v>12.64</v>
      </c>
      <c r="AA156">
        <v>0</v>
      </c>
      <c r="AB156">
        <v>0</v>
      </c>
      <c r="AC156">
        <v>0</v>
      </c>
      <c r="AD156">
        <v>8.2799999999999994</v>
      </c>
      <c r="AE156">
        <v>0</v>
      </c>
      <c r="AF156">
        <v>0</v>
      </c>
      <c r="AG156">
        <v>0</v>
      </c>
      <c r="AH156">
        <v>8.2799999999999994</v>
      </c>
      <c r="AI156">
        <v>1</v>
      </c>
      <c r="AJ156">
        <v>1</v>
      </c>
      <c r="AK156">
        <v>1</v>
      </c>
      <c r="AL156">
        <v>1</v>
      </c>
      <c r="AM156">
        <v>-2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</v>
      </c>
      <c r="AT156">
        <v>12.64</v>
      </c>
      <c r="AU156" t="s">
        <v>3</v>
      </c>
      <c r="AV156">
        <v>1</v>
      </c>
      <c r="AW156">
        <v>2</v>
      </c>
      <c r="AX156">
        <v>94799829</v>
      </c>
      <c r="AY156">
        <v>1</v>
      </c>
      <c r="AZ156">
        <v>0</v>
      </c>
      <c r="BA156">
        <v>156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U156">
        <f>ROUND(AT156*Source!I256*AH156*AL156,2)</f>
        <v>0</v>
      </c>
      <c r="CV156">
        <f>ROUND(Y156*Source!I256,9)</f>
        <v>0</v>
      </c>
      <c r="CW156">
        <v>0</v>
      </c>
      <c r="CX156">
        <f>ROUND(Y156*Source!I256,9)</f>
        <v>0</v>
      </c>
      <c r="CY156">
        <f>AD156</f>
        <v>8.2799999999999994</v>
      </c>
      <c r="CZ156">
        <f>AH156</f>
        <v>8.2799999999999994</v>
      </c>
      <c r="DA156">
        <f>AL156</f>
        <v>1</v>
      </c>
      <c r="DB156">
        <f t="shared" si="66"/>
        <v>104.66</v>
      </c>
      <c r="DC156">
        <f t="shared" si="67"/>
        <v>0</v>
      </c>
      <c r="DD156" t="s">
        <v>3</v>
      </c>
      <c r="DE156" t="s">
        <v>3</v>
      </c>
      <c r="DF156">
        <f>ROUND(ROUND(AE156,2)*CX156,2)</f>
        <v>0</v>
      </c>
      <c r="DG156">
        <f>ROUND(ROUND(AF156,2)*CX156,2)</f>
        <v>0</v>
      </c>
      <c r="DH156">
        <f>ROUND(ROUND(AG156,2)*CX156,2)</f>
        <v>0</v>
      </c>
      <c r="DI156">
        <f t="shared" si="63"/>
        <v>0</v>
      </c>
      <c r="DJ156">
        <f>DI156</f>
        <v>0</v>
      </c>
      <c r="DK156">
        <v>0</v>
      </c>
      <c r="DL156" t="s">
        <v>3</v>
      </c>
      <c r="DM156">
        <v>0</v>
      </c>
      <c r="DN156" t="s">
        <v>3</v>
      </c>
      <c r="DO156">
        <v>0</v>
      </c>
    </row>
    <row r="157" spans="1:119" x14ac:dyDescent="0.2">
      <c r="A157">
        <f>ROW(Source!A256)</f>
        <v>256</v>
      </c>
      <c r="B157">
        <v>94798619</v>
      </c>
      <c r="C157">
        <v>94799828</v>
      </c>
      <c r="D157">
        <v>121548</v>
      </c>
      <c r="E157">
        <v>1</v>
      </c>
      <c r="F157">
        <v>1</v>
      </c>
      <c r="G157">
        <v>1</v>
      </c>
      <c r="H157">
        <v>1</v>
      </c>
      <c r="I157" t="s">
        <v>28</v>
      </c>
      <c r="J157" t="s">
        <v>3</v>
      </c>
      <c r="K157" t="s">
        <v>705</v>
      </c>
      <c r="L157">
        <v>608254</v>
      </c>
      <c r="N157">
        <v>1013</v>
      </c>
      <c r="O157" t="s">
        <v>706</v>
      </c>
      <c r="P157" t="s">
        <v>706</v>
      </c>
      <c r="Q157">
        <v>1</v>
      </c>
      <c r="W157">
        <v>0</v>
      </c>
      <c r="X157">
        <v>-185737400</v>
      </c>
      <c r="Y157">
        <f t="shared" si="65"/>
        <v>0.16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M157">
        <v>-2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</v>
      </c>
      <c r="AT157">
        <v>0.16</v>
      </c>
      <c r="AU157" t="s">
        <v>3</v>
      </c>
      <c r="AV157">
        <v>2</v>
      </c>
      <c r="AW157">
        <v>2</v>
      </c>
      <c r="AX157">
        <v>94799830</v>
      </c>
      <c r="AY157">
        <v>1</v>
      </c>
      <c r="AZ157">
        <v>0</v>
      </c>
      <c r="BA157">
        <v>157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V157">
        <v>0</v>
      </c>
      <c r="CW157">
        <v>0</v>
      </c>
      <c r="CX157">
        <f>ROUND(Y157*Source!I256,9)</f>
        <v>0</v>
      </c>
      <c r="CY157">
        <f>AD157</f>
        <v>0</v>
      </c>
      <c r="CZ157">
        <f>AH157</f>
        <v>0</v>
      </c>
      <c r="DA157">
        <f>AL157</f>
        <v>1</v>
      </c>
      <c r="DB157">
        <f t="shared" si="66"/>
        <v>0</v>
      </c>
      <c r="DC157">
        <f t="shared" si="67"/>
        <v>0</v>
      </c>
      <c r="DD157" t="s">
        <v>3</v>
      </c>
      <c r="DE157" t="s">
        <v>3</v>
      </c>
      <c r="DF157">
        <f>ROUND(ROUND(AE157,2)*CX157,2)</f>
        <v>0</v>
      </c>
      <c r="DG157">
        <f>ROUND(ROUND(AF157,2)*CX157,2)</f>
        <v>0</v>
      </c>
      <c r="DH157">
        <f>ROUND(ROUND(AG157,2)*CX157,2)</f>
        <v>0</v>
      </c>
      <c r="DI157">
        <f t="shared" si="63"/>
        <v>0</v>
      </c>
      <c r="DJ157">
        <f>DI157</f>
        <v>0</v>
      </c>
      <c r="DK157">
        <v>0</v>
      </c>
      <c r="DL157" t="s">
        <v>3</v>
      </c>
      <c r="DM157">
        <v>0</v>
      </c>
      <c r="DN157" t="s">
        <v>3</v>
      </c>
      <c r="DO157">
        <v>0</v>
      </c>
    </row>
    <row r="158" spans="1:119" x14ac:dyDescent="0.2">
      <c r="A158">
        <f>ROW(Source!A256)</f>
        <v>256</v>
      </c>
      <c r="B158">
        <v>94798619</v>
      </c>
      <c r="C158">
        <v>94799828</v>
      </c>
      <c r="D158">
        <v>37802443</v>
      </c>
      <c r="E158">
        <v>1</v>
      </c>
      <c r="F158">
        <v>1</v>
      </c>
      <c r="G158">
        <v>1</v>
      </c>
      <c r="H158">
        <v>2</v>
      </c>
      <c r="I158" t="s">
        <v>721</v>
      </c>
      <c r="J158" t="s">
        <v>722</v>
      </c>
      <c r="K158" t="s">
        <v>723</v>
      </c>
      <c r="L158">
        <v>1368</v>
      </c>
      <c r="N158">
        <v>1011</v>
      </c>
      <c r="O158" t="s">
        <v>700</v>
      </c>
      <c r="P158" t="s">
        <v>700</v>
      </c>
      <c r="Q158">
        <v>1</v>
      </c>
      <c r="W158">
        <v>0</v>
      </c>
      <c r="X158">
        <v>1447433125</v>
      </c>
      <c r="Y158">
        <f t="shared" si="65"/>
        <v>0.16</v>
      </c>
      <c r="AA158">
        <v>0</v>
      </c>
      <c r="AB158">
        <v>1453.68</v>
      </c>
      <c r="AC158">
        <v>426.77</v>
      </c>
      <c r="AD158">
        <v>0</v>
      </c>
      <c r="AE158">
        <v>0</v>
      </c>
      <c r="AF158">
        <v>124.14</v>
      </c>
      <c r="AG158">
        <v>12.1</v>
      </c>
      <c r="AH158">
        <v>0</v>
      </c>
      <c r="AI158">
        <v>1</v>
      </c>
      <c r="AJ158">
        <v>11.71</v>
      </c>
      <c r="AK158">
        <v>35.270000000000003</v>
      </c>
      <c r="AL158">
        <v>1</v>
      </c>
      <c r="AM158">
        <v>2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</v>
      </c>
      <c r="AT158">
        <v>0.16</v>
      </c>
      <c r="AU158" t="s">
        <v>3</v>
      </c>
      <c r="AV158">
        <v>0</v>
      </c>
      <c r="AW158">
        <v>2</v>
      </c>
      <c r="AX158">
        <v>94799831</v>
      </c>
      <c r="AY158">
        <v>1</v>
      </c>
      <c r="AZ158">
        <v>0</v>
      </c>
      <c r="BA158">
        <v>158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V158">
        <v>0</v>
      </c>
      <c r="CW158">
        <f>ROUND(Y158*Source!I256*DO158,9)</f>
        <v>0</v>
      </c>
      <c r="CX158">
        <f>ROUND(Y158*Source!I256,9)</f>
        <v>0</v>
      </c>
      <c r="CY158">
        <f>AB158</f>
        <v>1453.68</v>
      </c>
      <c r="CZ158">
        <f>AF158</f>
        <v>124.14</v>
      </c>
      <c r="DA158">
        <f>AJ158</f>
        <v>11.71</v>
      </c>
      <c r="DB158">
        <f t="shared" si="66"/>
        <v>19.86</v>
      </c>
      <c r="DC158">
        <f t="shared" si="67"/>
        <v>1.94</v>
      </c>
      <c r="DD158" t="s">
        <v>3</v>
      </c>
      <c r="DE158" t="s">
        <v>3</v>
      </c>
      <c r="DF158">
        <f>ROUND(ROUND(AE158,2)*CX158,2)</f>
        <v>0</v>
      </c>
      <c r="DG158">
        <f>ROUND(ROUND(AF158*AJ158,2)*CX158,2)</f>
        <v>0</v>
      </c>
      <c r="DH158">
        <f>ROUND(ROUND(AG158*AK158,2)*CX158,2)</f>
        <v>0</v>
      </c>
      <c r="DI158">
        <f t="shared" si="63"/>
        <v>0</v>
      </c>
      <c r="DJ158">
        <f>DG158</f>
        <v>0</v>
      </c>
      <c r="DK158">
        <v>0</v>
      </c>
      <c r="DL158" t="s">
        <v>3</v>
      </c>
      <c r="DM158">
        <v>0</v>
      </c>
      <c r="DN158" t="s">
        <v>3</v>
      </c>
      <c r="DO158">
        <v>0</v>
      </c>
    </row>
    <row r="159" spans="1:119" x14ac:dyDescent="0.2">
      <c r="A159">
        <f>ROW(Source!A256)</f>
        <v>256</v>
      </c>
      <c r="B159">
        <v>94798619</v>
      </c>
      <c r="C159">
        <v>94799828</v>
      </c>
      <c r="D159">
        <v>37804456</v>
      </c>
      <c r="E159">
        <v>1</v>
      </c>
      <c r="F159">
        <v>1</v>
      </c>
      <c r="G159">
        <v>1</v>
      </c>
      <c r="H159">
        <v>2</v>
      </c>
      <c r="I159" t="s">
        <v>713</v>
      </c>
      <c r="J159" t="s">
        <v>714</v>
      </c>
      <c r="K159" t="s">
        <v>715</v>
      </c>
      <c r="L159">
        <v>1368</v>
      </c>
      <c r="N159">
        <v>1011</v>
      </c>
      <c r="O159" t="s">
        <v>700</v>
      </c>
      <c r="P159" t="s">
        <v>700</v>
      </c>
      <c r="Q159">
        <v>1</v>
      </c>
      <c r="W159">
        <v>0</v>
      </c>
      <c r="X159">
        <v>-671646184</v>
      </c>
      <c r="Y159">
        <f t="shared" si="65"/>
        <v>0.22</v>
      </c>
      <c r="AA159">
        <v>0</v>
      </c>
      <c r="AB159">
        <v>1305.74</v>
      </c>
      <c r="AC159">
        <v>365.04</v>
      </c>
      <c r="AD159">
        <v>0</v>
      </c>
      <c r="AE159">
        <v>0</v>
      </c>
      <c r="AF159">
        <v>91.76</v>
      </c>
      <c r="AG159">
        <v>10.35</v>
      </c>
      <c r="AH159">
        <v>0</v>
      </c>
      <c r="AI159">
        <v>1</v>
      </c>
      <c r="AJ159">
        <v>14.23</v>
      </c>
      <c r="AK159">
        <v>35.270000000000003</v>
      </c>
      <c r="AL159">
        <v>1</v>
      </c>
      <c r="AM159">
        <v>2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</v>
      </c>
      <c r="AT159">
        <v>0.22</v>
      </c>
      <c r="AU159" t="s">
        <v>3</v>
      </c>
      <c r="AV159">
        <v>0</v>
      </c>
      <c r="AW159">
        <v>2</v>
      </c>
      <c r="AX159">
        <v>94799832</v>
      </c>
      <c r="AY159">
        <v>1</v>
      </c>
      <c r="AZ159">
        <v>0</v>
      </c>
      <c r="BA159">
        <v>159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V159">
        <v>0</v>
      </c>
      <c r="CW159">
        <f>ROUND(Y159*Source!I256*DO159,9)</f>
        <v>0</v>
      </c>
      <c r="CX159">
        <f>ROUND(Y159*Source!I256,9)</f>
        <v>0</v>
      </c>
      <c r="CY159">
        <f>AB159</f>
        <v>1305.74</v>
      </c>
      <c r="CZ159">
        <f>AF159</f>
        <v>91.76</v>
      </c>
      <c r="DA159">
        <f>AJ159</f>
        <v>14.23</v>
      </c>
      <c r="DB159">
        <f t="shared" si="66"/>
        <v>20.190000000000001</v>
      </c>
      <c r="DC159">
        <f t="shared" si="67"/>
        <v>2.2799999999999998</v>
      </c>
      <c r="DD159" t="s">
        <v>3</v>
      </c>
      <c r="DE159" t="s">
        <v>3</v>
      </c>
      <c r="DF159">
        <f>ROUND(ROUND(AE159,2)*CX159,2)</f>
        <v>0</v>
      </c>
      <c r="DG159">
        <f>ROUND(ROUND(AF159*AJ159,2)*CX159,2)</f>
        <v>0</v>
      </c>
      <c r="DH159">
        <f>ROUND(ROUND(AG159*AK159,2)*CX159,2)</f>
        <v>0</v>
      </c>
      <c r="DI159">
        <f t="shared" si="63"/>
        <v>0</v>
      </c>
      <c r="DJ159">
        <f>DG159</f>
        <v>0</v>
      </c>
      <c r="DK159">
        <v>0</v>
      </c>
      <c r="DL159" t="s">
        <v>3</v>
      </c>
      <c r="DM159">
        <v>0</v>
      </c>
      <c r="DN159" t="s">
        <v>3</v>
      </c>
      <c r="DO159">
        <v>0</v>
      </c>
    </row>
    <row r="160" spans="1:119" x14ac:dyDescent="0.2">
      <c r="A160">
        <f>ROW(Source!A256)</f>
        <v>256</v>
      </c>
      <c r="B160">
        <v>94798619</v>
      </c>
      <c r="C160">
        <v>94799828</v>
      </c>
      <c r="D160">
        <v>37736279</v>
      </c>
      <c r="E160">
        <v>1</v>
      </c>
      <c r="F160">
        <v>1</v>
      </c>
      <c r="G160">
        <v>1</v>
      </c>
      <c r="H160">
        <v>3</v>
      </c>
      <c r="I160" t="s">
        <v>730</v>
      </c>
      <c r="J160" t="s">
        <v>731</v>
      </c>
      <c r="K160" t="s">
        <v>732</v>
      </c>
      <c r="L160">
        <v>1348</v>
      </c>
      <c r="N160">
        <v>1009</v>
      </c>
      <c r="O160" t="s">
        <v>170</v>
      </c>
      <c r="P160" t="s">
        <v>170</v>
      </c>
      <c r="Q160">
        <v>1000</v>
      </c>
      <c r="W160">
        <v>0</v>
      </c>
      <c r="X160">
        <v>-936228581</v>
      </c>
      <c r="Y160">
        <f t="shared" si="65"/>
        <v>2.8000000000000001E-2</v>
      </c>
      <c r="AA160">
        <v>76806</v>
      </c>
      <c r="AB160">
        <v>0</v>
      </c>
      <c r="AC160">
        <v>0</v>
      </c>
      <c r="AD160">
        <v>0</v>
      </c>
      <c r="AE160">
        <v>10200</v>
      </c>
      <c r="AF160">
        <v>0</v>
      </c>
      <c r="AG160">
        <v>0</v>
      </c>
      <c r="AH160">
        <v>0</v>
      </c>
      <c r="AI160">
        <v>7.53</v>
      </c>
      <c r="AJ160">
        <v>1</v>
      </c>
      <c r="AK160">
        <v>1</v>
      </c>
      <c r="AL160">
        <v>1</v>
      </c>
      <c r="AM160">
        <v>2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</v>
      </c>
      <c r="AT160">
        <v>2.8000000000000001E-2</v>
      </c>
      <c r="AU160" t="s">
        <v>3</v>
      </c>
      <c r="AV160">
        <v>0</v>
      </c>
      <c r="AW160">
        <v>2</v>
      </c>
      <c r="AX160">
        <v>94799833</v>
      </c>
      <c r="AY160">
        <v>1</v>
      </c>
      <c r="AZ160">
        <v>0</v>
      </c>
      <c r="BA160">
        <v>160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V160">
        <v>0</v>
      </c>
      <c r="CW160">
        <v>0</v>
      </c>
      <c r="CX160">
        <f>ROUND(Y160*Source!I256,9)</f>
        <v>0</v>
      </c>
      <c r="CY160">
        <f>AA160</f>
        <v>76806</v>
      </c>
      <c r="CZ160">
        <f>AE160</f>
        <v>10200</v>
      </c>
      <c r="DA160">
        <f>AI160</f>
        <v>7.53</v>
      </c>
      <c r="DB160">
        <f t="shared" si="66"/>
        <v>285.60000000000002</v>
      </c>
      <c r="DC160">
        <f t="shared" si="67"/>
        <v>0</v>
      </c>
      <c r="DD160" t="s">
        <v>3</v>
      </c>
      <c r="DE160" t="s">
        <v>3</v>
      </c>
      <c r="DF160">
        <f>ROUND(ROUND(AE160*AI160,2)*CX160,2)</f>
        <v>0</v>
      </c>
      <c r="DG160">
        <f>ROUND(ROUND(AF160,2)*CX160,2)</f>
        <v>0</v>
      </c>
      <c r="DH160">
        <f>ROUND(ROUND(AG160,2)*CX160,2)</f>
        <v>0</v>
      </c>
      <c r="DI160">
        <f t="shared" si="63"/>
        <v>0</v>
      </c>
      <c r="DJ160">
        <f>DF160</f>
        <v>0</v>
      </c>
      <c r="DK160">
        <v>0</v>
      </c>
      <c r="DL160" t="s">
        <v>3</v>
      </c>
      <c r="DM160">
        <v>0</v>
      </c>
      <c r="DN160" t="s">
        <v>3</v>
      </c>
      <c r="DO160">
        <v>0</v>
      </c>
    </row>
    <row r="161" spans="1:119" x14ac:dyDescent="0.2">
      <c r="A161">
        <f>ROW(Source!A256)</f>
        <v>256</v>
      </c>
      <c r="B161">
        <v>94798619</v>
      </c>
      <c r="C161">
        <v>94799828</v>
      </c>
      <c r="D161">
        <v>37753208</v>
      </c>
      <c r="E161">
        <v>1</v>
      </c>
      <c r="F161">
        <v>1</v>
      </c>
      <c r="G161">
        <v>1</v>
      </c>
      <c r="H161">
        <v>3</v>
      </c>
      <c r="I161" t="s">
        <v>897</v>
      </c>
      <c r="J161" t="s">
        <v>898</v>
      </c>
      <c r="K161" t="s">
        <v>899</v>
      </c>
      <c r="L161">
        <v>1348</v>
      </c>
      <c r="N161">
        <v>1009</v>
      </c>
      <c r="O161" t="s">
        <v>170</v>
      </c>
      <c r="P161" t="s">
        <v>170</v>
      </c>
      <c r="Q161">
        <v>1000</v>
      </c>
      <c r="W161">
        <v>0</v>
      </c>
      <c r="X161">
        <v>-1148993080</v>
      </c>
      <c r="Y161">
        <f t="shared" si="65"/>
        <v>1</v>
      </c>
      <c r="AA161">
        <v>68931.7</v>
      </c>
      <c r="AB161">
        <v>0</v>
      </c>
      <c r="AC161">
        <v>0</v>
      </c>
      <c r="AD161">
        <v>0</v>
      </c>
      <c r="AE161">
        <v>5734.75</v>
      </c>
      <c r="AF161">
        <v>0</v>
      </c>
      <c r="AG161">
        <v>0</v>
      </c>
      <c r="AH161">
        <v>0</v>
      </c>
      <c r="AI161">
        <v>12.02</v>
      </c>
      <c r="AJ161">
        <v>1</v>
      </c>
      <c r="AK161">
        <v>1</v>
      </c>
      <c r="AL161">
        <v>1</v>
      </c>
      <c r="AM161">
        <v>2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3</v>
      </c>
      <c r="AT161">
        <v>1</v>
      </c>
      <c r="AU161" t="s">
        <v>3</v>
      </c>
      <c r="AV161">
        <v>0</v>
      </c>
      <c r="AW161">
        <v>2</v>
      </c>
      <c r="AX161">
        <v>94799834</v>
      </c>
      <c r="AY161">
        <v>1</v>
      </c>
      <c r="AZ161">
        <v>0</v>
      </c>
      <c r="BA161">
        <v>161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V161">
        <v>0</v>
      </c>
      <c r="CW161">
        <v>0</v>
      </c>
      <c r="CX161">
        <f>ROUND(Y161*Source!I256,9)</f>
        <v>0</v>
      </c>
      <c r="CY161">
        <f>AA161</f>
        <v>68931.7</v>
      </c>
      <c r="CZ161">
        <f>AE161</f>
        <v>5734.75</v>
      </c>
      <c r="DA161">
        <f>AI161</f>
        <v>12.02</v>
      </c>
      <c r="DB161">
        <f t="shared" si="66"/>
        <v>5734.75</v>
      </c>
      <c r="DC161">
        <f t="shared" si="67"/>
        <v>0</v>
      </c>
      <c r="DD161" t="s">
        <v>3</v>
      </c>
      <c r="DE161" t="s">
        <v>3</v>
      </c>
      <c r="DF161">
        <f>ROUND(ROUND(AE161*AI161,2)*CX161,2)</f>
        <v>0</v>
      </c>
      <c r="DG161">
        <f>ROUND(ROUND(AF161,2)*CX161,2)</f>
        <v>0</v>
      </c>
      <c r="DH161">
        <f>ROUND(ROUND(AG161,2)*CX161,2)</f>
        <v>0</v>
      </c>
      <c r="DI161">
        <f t="shared" si="63"/>
        <v>0</v>
      </c>
      <c r="DJ161">
        <f>DF161</f>
        <v>0</v>
      </c>
      <c r="DK161">
        <v>0</v>
      </c>
      <c r="DL161" t="s">
        <v>3</v>
      </c>
      <c r="DM161">
        <v>0</v>
      </c>
      <c r="DN161" t="s">
        <v>3</v>
      </c>
      <c r="DO161">
        <v>0</v>
      </c>
    </row>
    <row r="162" spans="1:119" x14ac:dyDescent="0.2">
      <c r="A162">
        <f>ROW(Source!A257)</f>
        <v>257</v>
      </c>
      <c r="B162">
        <v>94798619</v>
      </c>
      <c r="C162">
        <v>94799835</v>
      </c>
      <c r="D162">
        <v>23129805</v>
      </c>
      <c r="E162">
        <v>1</v>
      </c>
      <c r="F162">
        <v>1</v>
      </c>
      <c r="G162">
        <v>1</v>
      </c>
      <c r="H162">
        <v>1</v>
      </c>
      <c r="I162" t="s">
        <v>703</v>
      </c>
      <c r="J162" t="s">
        <v>3</v>
      </c>
      <c r="K162" t="s">
        <v>704</v>
      </c>
      <c r="L162">
        <v>1369</v>
      </c>
      <c r="N162">
        <v>1013</v>
      </c>
      <c r="O162" t="s">
        <v>696</v>
      </c>
      <c r="P162" t="s">
        <v>696</v>
      </c>
      <c r="Q162">
        <v>1</v>
      </c>
      <c r="W162">
        <v>0</v>
      </c>
      <c r="X162">
        <v>756115135</v>
      </c>
      <c r="Y162">
        <f t="shared" si="65"/>
        <v>44.05</v>
      </c>
      <c r="AA162">
        <v>0</v>
      </c>
      <c r="AB162">
        <v>0</v>
      </c>
      <c r="AC162">
        <v>0</v>
      </c>
      <c r="AD162">
        <v>7.97</v>
      </c>
      <c r="AE162">
        <v>0</v>
      </c>
      <c r="AF162">
        <v>0</v>
      </c>
      <c r="AG162">
        <v>0</v>
      </c>
      <c r="AH162">
        <v>7.97</v>
      </c>
      <c r="AI162">
        <v>1</v>
      </c>
      <c r="AJ162">
        <v>1</v>
      </c>
      <c r="AK162">
        <v>1</v>
      </c>
      <c r="AL162">
        <v>1</v>
      </c>
      <c r="AM162">
        <v>-2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</v>
      </c>
      <c r="AT162">
        <v>44.05</v>
      </c>
      <c r="AU162" t="s">
        <v>3</v>
      </c>
      <c r="AV162">
        <v>1</v>
      </c>
      <c r="AW162">
        <v>2</v>
      </c>
      <c r="AX162">
        <v>94799836</v>
      </c>
      <c r="AY162">
        <v>1</v>
      </c>
      <c r="AZ162">
        <v>0</v>
      </c>
      <c r="BA162">
        <v>162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U162">
        <f>ROUND(AT162*Source!I257*AH162*AL162,2)</f>
        <v>21.06</v>
      </c>
      <c r="CV162">
        <f>ROUND(Y162*Source!I257,9)</f>
        <v>2.6429999999999998</v>
      </c>
      <c r="CW162">
        <v>0</v>
      </c>
      <c r="CX162">
        <f>ROUND(Y162*Source!I257,9)</f>
        <v>2.6429999999999998</v>
      </c>
      <c r="CY162">
        <f>AD162</f>
        <v>7.97</v>
      </c>
      <c r="CZ162">
        <f>AH162</f>
        <v>7.97</v>
      </c>
      <c r="DA162">
        <f>AL162</f>
        <v>1</v>
      </c>
      <c r="DB162">
        <f t="shared" si="66"/>
        <v>351.08</v>
      </c>
      <c r="DC162">
        <f t="shared" si="67"/>
        <v>0</v>
      </c>
      <c r="DD162" t="s">
        <v>3</v>
      </c>
      <c r="DE162" t="s">
        <v>3</v>
      </c>
      <c r="DF162">
        <f t="shared" ref="DF162:DF177" si="68">ROUND(ROUND(AE162,2)*CX162,2)</f>
        <v>0</v>
      </c>
      <c r="DG162">
        <f>ROUND(ROUND(AF162,2)*CX162,2)</f>
        <v>0</v>
      </c>
      <c r="DH162">
        <f>ROUND(ROUND(AG162,2)*CX162,2)</f>
        <v>0</v>
      </c>
      <c r="DI162">
        <f t="shared" si="63"/>
        <v>21.06</v>
      </c>
      <c r="DJ162">
        <f>DI162</f>
        <v>21.06</v>
      </c>
      <c r="DK162">
        <v>0</v>
      </c>
      <c r="DL162" t="s">
        <v>3</v>
      </c>
      <c r="DM162">
        <v>0</v>
      </c>
      <c r="DN162" t="s">
        <v>3</v>
      </c>
      <c r="DO162">
        <v>0</v>
      </c>
    </row>
    <row r="163" spans="1:119" x14ac:dyDescent="0.2">
      <c r="A163">
        <f>ROW(Source!A257)</f>
        <v>257</v>
      </c>
      <c r="B163">
        <v>94798619</v>
      </c>
      <c r="C163">
        <v>94799835</v>
      </c>
      <c r="D163">
        <v>121548</v>
      </c>
      <c r="E163">
        <v>1</v>
      </c>
      <c r="F163">
        <v>1</v>
      </c>
      <c r="G163">
        <v>1</v>
      </c>
      <c r="H163">
        <v>1</v>
      </c>
      <c r="I163" t="s">
        <v>28</v>
      </c>
      <c r="J163" t="s">
        <v>3</v>
      </c>
      <c r="K163" t="s">
        <v>705</v>
      </c>
      <c r="L163">
        <v>608254</v>
      </c>
      <c r="N163">
        <v>1013</v>
      </c>
      <c r="O163" t="s">
        <v>706</v>
      </c>
      <c r="P163" t="s">
        <v>706</v>
      </c>
      <c r="Q163">
        <v>1</v>
      </c>
      <c r="W163">
        <v>0</v>
      </c>
      <c r="X163">
        <v>-185737400</v>
      </c>
      <c r="Y163">
        <f t="shared" si="65"/>
        <v>28.2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-2</v>
      </c>
      <c r="AN163">
        <v>0</v>
      </c>
      <c r="AO163">
        <v>1</v>
      </c>
      <c r="AP163">
        <v>1</v>
      </c>
      <c r="AQ163">
        <v>0</v>
      </c>
      <c r="AR163">
        <v>0</v>
      </c>
      <c r="AS163" t="s">
        <v>3</v>
      </c>
      <c r="AT163">
        <v>28.2</v>
      </c>
      <c r="AU163" t="s">
        <v>3</v>
      </c>
      <c r="AV163">
        <v>2</v>
      </c>
      <c r="AW163">
        <v>2</v>
      </c>
      <c r="AX163">
        <v>94799837</v>
      </c>
      <c r="AY163">
        <v>1</v>
      </c>
      <c r="AZ163">
        <v>0</v>
      </c>
      <c r="BA163">
        <v>163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V163">
        <v>0</v>
      </c>
      <c r="CW163">
        <v>0</v>
      </c>
      <c r="CX163">
        <f>ROUND(Y163*Source!I257,9)</f>
        <v>1.6919999999999999</v>
      </c>
      <c r="CY163">
        <f>AD163</f>
        <v>0</v>
      </c>
      <c r="CZ163">
        <f>AH163</f>
        <v>0</v>
      </c>
      <c r="DA163">
        <f>AL163</f>
        <v>1</v>
      </c>
      <c r="DB163">
        <f t="shared" si="66"/>
        <v>0</v>
      </c>
      <c r="DC163">
        <f t="shared" si="67"/>
        <v>0</v>
      </c>
      <c r="DD163" t="s">
        <v>3</v>
      </c>
      <c r="DE163" t="s">
        <v>3</v>
      </c>
      <c r="DF163">
        <f t="shared" si="68"/>
        <v>0</v>
      </c>
      <c r="DG163">
        <f>ROUND(ROUND(AF163,2)*CX163,2)</f>
        <v>0</v>
      </c>
      <c r="DH163">
        <f>ROUND(ROUND(AG163,2)*CX163,2)</f>
        <v>0</v>
      </c>
      <c r="DI163">
        <f t="shared" si="63"/>
        <v>0</v>
      </c>
      <c r="DJ163">
        <f>DI163</f>
        <v>0</v>
      </c>
      <c r="DK163">
        <v>0</v>
      </c>
      <c r="DL163" t="s">
        <v>3</v>
      </c>
      <c r="DM163">
        <v>0</v>
      </c>
      <c r="DN163" t="s">
        <v>3</v>
      </c>
      <c r="DO163">
        <v>0</v>
      </c>
    </row>
    <row r="164" spans="1:119" x14ac:dyDescent="0.2">
      <c r="A164">
        <f>ROW(Source!A257)</f>
        <v>257</v>
      </c>
      <c r="B164">
        <v>94798619</v>
      </c>
      <c r="C164">
        <v>94799835</v>
      </c>
      <c r="D164">
        <v>37802634</v>
      </c>
      <c r="E164">
        <v>1</v>
      </c>
      <c r="F164">
        <v>1</v>
      </c>
      <c r="G164">
        <v>1</v>
      </c>
      <c r="H164">
        <v>2</v>
      </c>
      <c r="I164" t="s">
        <v>900</v>
      </c>
      <c r="J164" t="s">
        <v>901</v>
      </c>
      <c r="K164" t="s">
        <v>902</v>
      </c>
      <c r="L164">
        <v>1368</v>
      </c>
      <c r="N164">
        <v>1011</v>
      </c>
      <c r="O164" t="s">
        <v>700</v>
      </c>
      <c r="P164" t="s">
        <v>700</v>
      </c>
      <c r="Q164">
        <v>1</v>
      </c>
      <c r="W164">
        <v>0</v>
      </c>
      <c r="X164">
        <v>-314691159</v>
      </c>
      <c r="Y164">
        <f t="shared" si="65"/>
        <v>28.2</v>
      </c>
      <c r="AA164">
        <v>0</v>
      </c>
      <c r="AB164">
        <v>419.97</v>
      </c>
      <c r="AC164">
        <v>365.04</v>
      </c>
      <c r="AD164">
        <v>0</v>
      </c>
      <c r="AE164">
        <v>0</v>
      </c>
      <c r="AF164">
        <v>21.2</v>
      </c>
      <c r="AG164">
        <v>10.35</v>
      </c>
      <c r="AH164">
        <v>0</v>
      </c>
      <c r="AI164">
        <v>1</v>
      </c>
      <c r="AJ164">
        <v>19.809999999999999</v>
      </c>
      <c r="AK164">
        <v>35.270000000000003</v>
      </c>
      <c r="AL164">
        <v>1</v>
      </c>
      <c r="AM164">
        <v>2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</v>
      </c>
      <c r="AT164">
        <v>28.2</v>
      </c>
      <c r="AU164" t="s">
        <v>3</v>
      </c>
      <c r="AV164">
        <v>0</v>
      </c>
      <c r="AW164">
        <v>2</v>
      </c>
      <c r="AX164">
        <v>94799838</v>
      </c>
      <c r="AY164">
        <v>1</v>
      </c>
      <c r="AZ164">
        <v>0</v>
      </c>
      <c r="BA164">
        <v>164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V164">
        <v>0</v>
      </c>
      <c r="CW164">
        <f>ROUND(Y164*Source!I257*DO164,9)</f>
        <v>0</v>
      </c>
      <c r="CX164">
        <f>ROUND(Y164*Source!I257,9)</f>
        <v>1.6919999999999999</v>
      </c>
      <c r="CY164">
        <f>AB164</f>
        <v>419.97</v>
      </c>
      <c r="CZ164">
        <f>AF164</f>
        <v>21.2</v>
      </c>
      <c r="DA164">
        <f>AJ164</f>
        <v>19.809999999999999</v>
      </c>
      <c r="DB164">
        <f t="shared" si="66"/>
        <v>597.84</v>
      </c>
      <c r="DC164">
        <f t="shared" si="67"/>
        <v>291.87</v>
      </c>
      <c r="DD164" t="s">
        <v>3</v>
      </c>
      <c r="DE164" t="s">
        <v>3</v>
      </c>
      <c r="DF164">
        <f t="shared" si="68"/>
        <v>0</v>
      </c>
      <c r="DG164">
        <f>ROUND(ROUND(AF164*AJ164,2)*CX164,2)</f>
        <v>710.59</v>
      </c>
      <c r="DH164">
        <f>ROUND(ROUND(AG164*AK164,2)*CX164,2)</f>
        <v>617.65</v>
      </c>
      <c r="DI164">
        <f t="shared" si="63"/>
        <v>0</v>
      </c>
      <c r="DJ164">
        <f>DG164</f>
        <v>710.59</v>
      </c>
      <c r="DK164">
        <v>0</v>
      </c>
      <c r="DL164" t="s">
        <v>3</v>
      </c>
      <c r="DM164">
        <v>0</v>
      </c>
      <c r="DN164" t="s">
        <v>3</v>
      </c>
      <c r="DO164">
        <v>0</v>
      </c>
    </row>
    <row r="165" spans="1:119" x14ac:dyDescent="0.2">
      <c r="A165">
        <f>ROW(Source!A257)</f>
        <v>257</v>
      </c>
      <c r="B165">
        <v>94798619</v>
      </c>
      <c r="C165">
        <v>94799835</v>
      </c>
      <c r="D165">
        <v>37804139</v>
      </c>
      <c r="E165">
        <v>1</v>
      </c>
      <c r="F165">
        <v>1</v>
      </c>
      <c r="G165">
        <v>1</v>
      </c>
      <c r="H165">
        <v>2</v>
      </c>
      <c r="I165" t="s">
        <v>903</v>
      </c>
      <c r="J165" t="s">
        <v>904</v>
      </c>
      <c r="K165" t="s">
        <v>905</v>
      </c>
      <c r="L165">
        <v>1368</v>
      </c>
      <c r="N165">
        <v>1011</v>
      </c>
      <c r="O165" t="s">
        <v>700</v>
      </c>
      <c r="P165" t="s">
        <v>700</v>
      </c>
      <c r="Q165">
        <v>1</v>
      </c>
      <c r="W165">
        <v>0</v>
      </c>
      <c r="X165">
        <v>1888954426</v>
      </c>
      <c r="Y165">
        <f t="shared" si="65"/>
        <v>15.83</v>
      </c>
      <c r="AA165">
        <v>0</v>
      </c>
      <c r="AB165">
        <v>106.28</v>
      </c>
      <c r="AC165">
        <v>0</v>
      </c>
      <c r="AD165">
        <v>0</v>
      </c>
      <c r="AE165">
        <v>0</v>
      </c>
      <c r="AF165">
        <v>28.88</v>
      </c>
      <c r="AG165">
        <v>0</v>
      </c>
      <c r="AH165">
        <v>0</v>
      </c>
      <c r="AI165">
        <v>1</v>
      </c>
      <c r="AJ165">
        <v>3.68</v>
      </c>
      <c r="AK165">
        <v>35.270000000000003</v>
      </c>
      <c r="AL165">
        <v>1</v>
      </c>
      <c r="AM165">
        <v>2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</v>
      </c>
      <c r="AT165">
        <v>15.83</v>
      </c>
      <c r="AU165" t="s">
        <v>3</v>
      </c>
      <c r="AV165">
        <v>0</v>
      </c>
      <c r="AW165">
        <v>2</v>
      </c>
      <c r="AX165">
        <v>94799839</v>
      </c>
      <c r="AY165">
        <v>1</v>
      </c>
      <c r="AZ165">
        <v>0</v>
      </c>
      <c r="BA165">
        <v>165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V165">
        <v>0</v>
      </c>
      <c r="CW165">
        <f>ROUND(Y165*Source!I257*DO165,9)</f>
        <v>0</v>
      </c>
      <c r="CX165">
        <f>ROUND(Y165*Source!I257,9)</f>
        <v>0.94979999999999998</v>
      </c>
      <c r="CY165">
        <f>AB165</f>
        <v>106.28</v>
      </c>
      <c r="CZ165">
        <f>AF165</f>
        <v>28.88</v>
      </c>
      <c r="DA165">
        <f>AJ165</f>
        <v>3.68</v>
      </c>
      <c r="DB165">
        <f t="shared" si="66"/>
        <v>457.17</v>
      </c>
      <c r="DC165">
        <f t="shared" si="67"/>
        <v>0</v>
      </c>
      <c r="DD165" t="s">
        <v>3</v>
      </c>
      <c r="DE165" t="s">
        <v>3</v>
      </c>
      <c r="DF165">
        <f t="shared" si="68"/>
        <v>0</v>
      </c>
      <c r="DG165">
        <f>ROUND(ROUND(AF165*AJ165,2)*CX165,2)</f>
        <v>100.94</v>
      </c>
      <c r="DH165">
        <f>ROUND(ROUND(AG165*AK165,2)*CX165,2)</f>
        <v>0</v>
      </c>
      <c r="DI165">
        <f t="shared" si="63"/>
        <v>0</v>
      </c>
      <c r="DJ165">
        <f>DG165</f>
        <v>100.94</v>
      </c>
      <c r="DK165">
        <v>0</v>
      </c>
      <c r="DL165" t="s">
        <v>3</v>
      </c>
      <c r="DM165">
        <v>0</v>
      </c>
      <c r="DN165" t="s">
        <v>3</v>
      </c>
      <c r="DO165">
        <v>0</v>
      </c>
    </row>
    <row r="166" spans="1:119" x14ac:dyDescent="0.2">
      <c r="A166">
        <f>ROW(Source!A257)</f>
        <v>257</v>
      </c>
      <c r="B166">
        <v>94798619</v>
      </c>
      <c r="C166">
        <v>94799835</v>
      </c>
      <c r="D166">
        <v>37804227</v>
      </c>
      <c r="E166">
        <v>1</v>
      </c>
      <c r="F166">
        <v>1</v>
      </c>
      <c r="G166">
        <v>1</v>
      </c>
      <c r="H166">
        <v>2</v>
      </c>
      <c r="I166" t="s">
        <v>906</v>
      </c>
      <c r="J166" t="s">
        <v>907</v>
      </c>
      <c r="K166" t="s">
        <v>908</v>
      </c>
      <c r="L166">
        <v>1368</v>
      </c>
      <c r="N166">
        <v>1011</v>
      </c>
      <c r="O166" t="s">
        <v>700</v>
      </c>
      <c r="P166" t="s">
        <v>700</v>
      </c>
      <c r="Q166">
        <v>1</v>
      </c>
      <c r="W166">
        <v>0</v>
      </c>
      <c r="X166">
        <v>1272319123</v>
      </c>
      <c r="Y166">
        <f t="shared" si="65"/>
        <v>12.4</v>
      </c>
      <c r="AA166">
        <v>0</v>
      </c>
      <c r="AB166">
        <v>7.23</v>
      </c>
      <c r="AC166">
        <v>0</v>
      </c>
      <c r="AD166">
        <v>0</v>
      </c>
      <c r="AE166">
        <v>0</v>
      </c>
      <c r="AF166">
        <v>1.1000000000000001</v>
      </c>
      <c r="AG166">
        <v>0</v>
      </c>
      <c r="AH166">
        <v>0</v>
      </c>
      <c r="AI166">
        <v>1</v>
      </c>
      <c r="AJ166">
        <v>6.57</v>
      </c>
      <c r="AK166">
        <v>35.270000000000003</v>
      </c>
      <c r="AL166">
        <v>1</v>
      </c>
      <c r="AM166">
        <v>2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12.4</v>
      </c>
      <c r="AU166" t="s">
        <v>3</v>
      </c>
      <c r="AV166">
        <v>0</v>
      </c>
      <c r="AW166">
        <v>2</v>
      </c>
      <c r="AX166">
        <v>94799840</v>
      </c>
      <c r="AY166">
        <v>1</v>
      </c>
      <c r="AZ166">
        <v>0</v>
      </c>
      <c r="BA166">
        <v>166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V166">
        <v>0</v>
      </c>
      <c r="CW166">
        <f>ROUND(Y166*Source!I257*DO166,9)</f>
        <v>0</v>
      </c>
      <c r="CX166">
        <f>ROUND(Y166*Source!I257,9)</f>
        <v>0.74399999999999999</v>
      </c>
      <c r="CY166">
        <f>AB166</f>
        <v>7.23</v>
      </c>
      <c r="CZ166">
        <f>AF166</f>
        <v>1.1000000000000001</v>
      </c>
      <c r="DA166">
        <f>AJ166</f>
        <v>6.57</v>
      </c>
      <c r="DB166">
        <f t="shared" si="66"/>
        <v>13.64</v>
      </c>
      <c r="DC166">
        <f t="shared" si="67"/>
        <v>0</v>
      </c>
      <c r="DD166" t="s">
        <v>3</v>
      </c>
      <c r="DE166" t="s">
        <v>3</v>
      </c>
      <c r="DF166">
        <f t="shared" si="68"/>
        <v>0</v>
      </c>
      <c r="DG166">
        <f>ROUND(ROUND(AF166*AJ166,2)*CX166,2)</f>
        <v>5.38</v>
      </c>
      <c r="DH166">
        <f>ROUND(ROUND(AG166*AK166,2)*CX166,2)</f>
        <v>0</v>
      </c>
      <c r="DI166">
        <f t="shared" si="63"/>
        <v>0</v>
      </c>
      <c r="DJ166">
        <f>DG166</f>
        <v>5.38</v>
      </c>
      <c r="DK166">
        <v>0</v>
      </c>
      <c r="DL166" t="s">
        <v>3</v>
      </c>
      <c r="DM166">
        <v>0</v>
      </c>
      <c r="DN166" t="s">
        <v>3</v>
      </c>
      <c r="DO166">
        <v>0</v>
      </c>
    </row>
    <row r="167" spans="1:119" x14ac:dyDescent="0.2">
      <c r="A167">
        <f>ROW(Source!A257)</f>
        <v>257</v>
      </c>
      <c r="B167">
        <v>94798619</v>
      </c>
      <c r="C167">
        <v>94799835</v>
      </c>
      <c r="D167">
        <v>37804456</v>
      </c>
      <c r="E167">
        <v>1</v>
      </c>
      <c r="F167">
        <v>1</v>
      </c>
      <c r="G167">
        <v>1</v>
      </c>
      <c r="H167">
        <v>2</v>
      </c>
      <c r="I167" t="s">
        <v>713</v>
      </c>
      <c r="J167" t="s">
        <v>714</v>
      </c>
      <c r="K167" t="s">
        <v>715</v>
      </c>
      <c r="L167">
        <v>1368</v>
      </c>
      <c r="N167">
        <v>1011</v>
      </c>
      <c r="O167" t="s">
        <v>700</v>
      </c>
      <c r="P167" t="s">
        <v>700</v>
      </c>
      <c r="Q167">
        <v>1</v>
      </c>
      <c r="W167">
        <v>0</v>
      </c>
      <c r="X167">
        <v>-671646184</v>
      </c>
      <c r="Y167">
        <f t="shared" si="65"/>
        <v>1.58</v>
      </c>
      <c r="AA167">
        <v>0</v>
      </c>
      <c r="AB167">
        <v>1305.74</v>
      </c>
      <c r="AC167">
        <v>365.04</v>
      </c>
      <c r="AD167">
        <v>0</v>
      </c>
      <c r="AE167">
        <v>0</v>
      </c>
      <c r="AF167">
        <v>91.76</v>
      </c>
      <c r="AG167">
        <v>10.35</v>
      </c>
      <c r="AH167">
        <v>0</v>
      </c>
      <c r="AI167">
        <v>1</v>
      </c>
      <c r="AJ167">
        <v>14.23</v>
      </c>
      <c r="AK167">
        <v>35.270000000000003</v>
      </c>
      <c r="AL167">
        <v>1</v>
      </c>
      <c r="AM167">
        <v>2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1.58</v>
      </c>
      <c r="AU167" t="s">
        <v>3</v>
      </c>
      <c r="AV167">
        <v>0</v>
      </c>
      <c r="AW167">
        <v>2</v>
      </c>
      <c r="AX167">
        <v>94799841</v>
      </c>
      <c r="AY167">
        <v>1</v>
      </c>
      <c r="AZ167">
        <v>0</v>
      </c>
      <c r="BA167">
        <v>167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V167">
        <v>0</v>
      </c>
      <c r="CW167">
        <f>ROUND(Y167*Source!I257*DO167,9)</f>
        <v>0</v>
      </c>
      <c r="CX167">
        <f>ROUND(Y167*Source!I257,9)</f>
        <v>9.4799999999999995E-2</v>
      </c>
      <c r="CY167">
        <f>AB167</f>
        <v>1305.74</v>
      </c>
      <c r="CZ167">
        <f>AF167</f>
        <v>91.76</v>
      </c>
      <c r="DA167">
        <f>AJ167</f>
        <v>14.23</v>
      </c>
      <c r="DB167">
        <f t="shared" si="66"/>
        <v>144.97999999999999</v>
      </c>
      <c r="DC167">
        <f t="shared" si="67"/>
        <v>16.350000000000001</v>
      </c>
      <c r="DD167" t="s">
        <v>3</v>
      </c>
      <c r="DE167" t="s">
        <v>3</v>
      </c>
      <c r="DF167">
        <f t="shared" si="68"/>
        <v>0</v>
      </c>
      <c r="DG167">
        <f>ROUND(ROUND(AF167*AJ167,2)*CX167,2)</f>
        <v>123.78</v>
      </c>
      <c r="DH167">
        <f>ROUND(ROUND(AG167*AK167,2)*CX167,2)</f>
        <v>34.61</v>
      </c>
      <c r="DI167">
        <f t="shared" si="63"/>
        <v>0</v>
      </c>
      <c r="DJ167">
        <f>DG167</f>
        <v>123.78</v>
      </c>
      <c r="DK167">
        <v>0</v>
      </c>
      <c r="DL167" t="s">
        <v>3</v>
      </c>
      <c r="DM167">
        <v>0</v>
      </c>
      <c r="DN167" t="s">
        <v>3</v>
      </c>
      <c r="DO167">
        <v>0</v>
      </c>
    </row>
    <row r="168" spans="1:119" x14ac:dyDescent="0.2">
      <c r="A168">
        <f>ROW(Source!A257)</f>
        <v>257</v>
      </c>
      <c r="B168">
        <v>94798619</v>
      </c>
      <c r="C168">
        <v>94799835</v>
      </c>
      <c r="D168">
        <v>37736786</v>
      </c>
      <c r="E168">
        <v>1</v>
      </c>
      <c r="F168">
        <v>1</v>
      </c>
      <c r="G168">
        <v>1</v>
      </c>
      <c r="H168">
        <v>3</v>
      </c>
      <c r="I168" t="s">
        <v>352</v>
      </c>
      <c r="J168" t="s">
        <v>354</v>
      </c>
      <c r="K168" t="s">
        <v>353</v>
      </c>
      <c r="L168">
        <v>1348</v>
      </c>
      <c r="N168">
        <v>1009</v>
      </c>
      <c r="O168" t="s">
        <v>170</v>
      </c>
      <c r="P168" t="s">
        <v>170</v>
      </c>
      <c r="Q168">
        <v>1000</v>
      </c>
      <c r="W168">
        <v>0</v>
      </c>
      <c r="X168">
        <v>173026520</v>
      </c>
      <c r="Y168">
        <f t="shared" si="65"/>
        <v>0.03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M168">
        <v>0</v>
      </c>
      <c r="AN168">
        <v>0</v>
      </c>
      <c r="AO168">
        <v>0</v>
      </c>
      <c r="AP168">
        <v>1</v>
      </c>
      <c r="AQ168">
        <v>0</v>
      </c>
      <c r="AR168">
        <v>0</v>
      </c>
      <c r="AS168" t="s">
        <v>3</v>
      </c>
      <c r="AT168">
        <v>0.03</v>
      </c>
      <c r="AU168" t="s">
        <v>3</v>
      </c>
      <c r="AV168">
        <v>0</v>
      </c>
      <c r="AW168">
        <v>2</v>
      </c>
      <c r="AX168">
        <v>94799842</v>
      </c>
      <c r="AY168">
        <v>1</v>
      </c>
      <c r="AZ168">
        <v>0</v>
      </c>
      <c r="BA168">
        <v>168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V168">
        <v>0</v>
      </c>
      <c r="CW168">
        <v>0</v>
      </c>
      <c r="CX168">
        <f>ROUND(Y168*Source!I257,9)</f>
        <v>1.8E-3</v>
      </c>
      <c r="CY168">
        <f>AA168</f>
        <v>0</v>
      </c>
      <c r="CZ168">
        <f>AE168</f>
        <v>0</v>
      </c>
      <c r="DA168">
        <f>AI168</f>
        <v>1</v>
      </c>
      <c r="DB168">
        <f t="shared" si="66"/>
        <v>0</v>
      </c>
      <c r="DC168">
        <f t="shared" si="67"/>
        <v>0</v>
      </c>
      <c r="DD168" t="s">
        <v>3</v>
      </c>
      <c r="DE168" t="s">
        <v>3</v>
      </c>
      <c r="DF168">
        <f t="shared" si="68"/>
        <v>0</v>
      </c>
      <c r="DG168">
        <f>ROUND(ROUND(AF168,2)*CX168,2)</f>
        <v>0</v>
      </c>
      <c r="DH168">
        <f>ROUND(ROUND(AG168,2)*CX168,2)</f>
        <v>0</v>
      </c>
      <c r="DI168">
        <f t="shared" si="63"/>
        <v>0</v>
      </c>
      <c r="DJ168">
        <f>DF168</f>
        <v>0</v>
      </c>
      <c r="DK168">
        <v>0</v>
      </c>
      <c r="DL168" t="s">
        <v>3</v>
      </c>
      <c r="DM168">
        <v>0</v>
      </c>
      <c r="DN168" t="s">
        <v>3</v>
      </c>
      <c r="DO168">
        <v>0</v>
      </c>
    </row>
    <row r="169" spans="1:119" x14ac:dyDescent="0.2">
      <c r="A169">
        <f>ROW(Source!A257)</f>
        <v>257</v>
      </c>
      <c r="B169">
        <v>94798619</v>
      </c>
      <c r="C169">
        <v>94799835</v>
      </c>
      <c r="D169">
        <v>37751161</v>
      </c>
      <c r="E169">
        <v>1</v>
      </c>
      <c r="F169">
        <v>1</v>
      </c>
      <c r="G169">
        <v>1</v>
      </c>
      <c r="H169">
        <v>3</v>
      </c>
      <c r="I169" t="s">
        <v>45</v>
      </c>
      <c r="J169" t="s">
        <v>48</v>
      </c>
      <c r="K169" t="s">
        <v>46</v>
      </c>
      <c r="L169">
        <v>1354</v>
      </c>
      <c r="N169">
        <v>1010</v>
      </c>
      <c r="O169" t="s">
        <v>47</v>
      </c>
      <c r="P169" t="s">
        <v>47</v>
      </c>
      <c r="Q169">
        <v>1</v>
      </c>
      <c r="W169">
        <v>0</v>
      </c>
      <c r="X169">
        <v>-138700279</v>
      </c>
      <c r="Y169">
        <f t="shared" si="65"/>
        <v>100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M169">
        <v>0</v>
      </c>
      <c r="AN169">
        <v>0</v>
      </c>
      <c r="AO169">
        <v>0</v>
      </c>
      <c r="AP169">
        <v>1</v>
      </c>
      <c r="AQ169">
        <v>0</v>
      </c>
      <c r="AR169">
        <v>0</v>
      </c>
      <c r="AS169" t="s">
        <v>3</v>
      </c>
      <c r="AT169">
        <v>100</v>
      </c>
      <c r="AU169" t="s">
        <v>3</v>
      </c>
      <c r="AV169">
        <v>0</v>
      </c>
      <c r="AW169">
        <v>2</v>
      </c>
      <c r="AX169">
        <v>94799843</v>
      </c>
      <c r="AY169">
        <v>1</v>
      </c>
      <c r="AZ169">
        <v>0</v>
      </c>
      <c r="BA169">
        <v>169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V169">
        <v>0</v>
      </c>
      <c r="CW169">
        <v>0</v>
      </c>
      <c r="CX169">
        <f>ROUND(Y169*Source!I257,9)</f>
        <v>6</v>
      </c>
      <c r="CY169">
        <f>AA169</f>
        <v>0</v>
      </c>
      <c r="CZ169">
        <f>AE169</f>
        <v>0</v>
      </c>
      <c r="DA169">
        <f>AI169</f>
        <v>1</v>
      </c>
      <c r="DB169">
        <f t="shared" si="66"/>
        <v>0</v>
      </c>
      <c r="DC169">
        <f t="shared" si="67"/>
        <v>0</v>
      </c>
      <c r="DD169" t="s">
        <v>3</v>
      </c>
      <c r="DE169" t="s">
        <v>3</v>
      </c>
      <c r="DF169">
        <f t="shared" si="68"/>
        <v>0</v>
      </c>
      <c r="DG169">
        <f>ROUND(ROUND(AF169,2)*CX169,2)</f>
        <v>0</v>
      </c>
      <c r="DH169">
        <f>ROUND(ROUND(AG169,2)*CX169,2)</f>
        <v>0</v>
      </c>
      <c r="DI169">
        <f t="shared" si="63"/>
        <v>0</v>
      </c>
      <c r="DJ169">
        <f>DF169</f>
        <v>0</v>
      </c>
      <c r="DK169">
        <v>0</v>
      </c>
      <c r="DL169" t="s">
        <v>3</v>
      </c>
      <c r="DM169">
        <v>0</v>
      </c>
      <c r="DN169" t="s">
        <v>3</v>
      </c>
      <c r="DO169">
        <v>0</v>
      </c>
    </row>
    <row r="170" spans="1:119" x14ac:dyDescent="0.2">
      <c r="A170">
        <f>ROW(Source!A261)</f>
        <v>261</v>
      </c>
      <c r="B170">
        <v>94798619</v>
      </c>
      <c r="C170">
        <v>94799847</v>
      </c>
      <c r="D170">
        <v>23134955</v>
      </c>
      <c r="E170">
        <v>1</v>
      </c>
      <c r="F170">
        <v>1</v>
      </c>
      <c r="G170">
        <v>1</v>
      </c>
      <c r="H170">
        <v>1</v>
      </c>
      <c r="I170" t="s">
        <v>772</v>
      </c>
      <c r="J170" t="s">
        <v>3</v>
      </c>
      <c r="K170" t="s">
        <v>773</v>
      </c>
      <c r="L170">
        <v>1369</v>
      </c>
      <c r="N170">
        <v>1013</v>
      </c>
      <c r="O170" t="s">
        <v>696</v>
      </c>
      <c r="P170" t="s">
        <v>696</v>
      </c>
      <c r="Q170">
        <v>1</v>
      </c>
      <c r="W170">
        <v>0</v>
      </c>
      <c r="X170">
        <v>-1698459243</v>
      </c>
      <c r="Y170">
        <f t="shared" si="65"/>
        <v>63.28</v>
      </c>
      <c r="AA170">
        <v>0</v>
      </c>
      <c r="AB170">
        <v>0</v>
      </c>
      <c r="AC170">
        <v>0</v>
      </c>
      <c r="AD170">
        <v>8.17</v>
      </c>
      <c r="AE170">
        <v>0</v>
      </c>
      <c r="AF170">
        <v>0</v>
      </c>
      <c r="AG170">
        <v>0</v>
      </c>
      <c r="AH170">
        <v>8.17</v>
      </c>
      <c r="AI170">
        <v>1</v>
      </c>
      <c r="AJ170">
        <v>1</v>
      </c>
      <c r="AK170">
        <v>1</v>
      </c>
      <c r="AL170">
        <v>1</v>
      </c>
      <c r="AM170">
        <v>-2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</v>
      </c>
      <c r="AT170">
        <v>63.28</v>
      </c>
      <c r="AU170" t="s">
        <v>3</v>
      </c>
      <c r="AV170">
        <v>1</v>
      </c>
      <c r="AW170">
        <v>2</v>
      </c>
      <c r="AX170">
        <v>94799848</v>
      </c>
      <c r="AY170">
        <v>1</v>
      </c>
      <c r="AZ170">
        <v>0</v>
      </c>
      <c r="BA170">
        <v>170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U170">
        <f>ROUND(AT170*Source!I261*AH170*AL170,2)</f>
        <v>26.37</v>
      </c>
      <c r="CV170">
        <f>ROUND(Y170*Source!I261,9)</f>
        <v>3.2272799999999999</v>
      </c>
      <c r="CW170">
        <v>0</v>
      </c>
      <c r="CX170">
        <f>ROUND(Y170*Source!I261,9)</f>
        <v>3.2272799999999999</v>
      </c>
      <c r="CY170">
        <f>AD170</f>
        <v>8.17</v>
      </c>
      <c r="CZ170">
        <f>AH170</f>
        <v>8.17</v>
      </c>
      <c r="DA170">
        <f>AL170</f>
        <v>1</v>
      </c>
      <c r="DB170">
        <f t="shared" si="66"/>
        <v>517</v>
      </c>
      <c r="DC170">
        <f t="shared" si="67"/>
        <v>0</v>
      </c>
      <c r="DD170" t="s">
        <v>3</v>
      </c>
      <c r="DE170" t="s">
        <v>3</v>
      </c>
      <c r="DF170">
        <f t="shared" si="68"/>
        <v>0</v>
      </c>
      <c r="DG170">
        <f>ROUND(ROUND(AF170,2)*CX170,2)</f>
        <v>0</v>
      </c>
      <c r="DH170">
        <f>ROUND(ROUND(AG170,2)*CX170,2)</f>
        <v>0</v>
      </c>
      <c r="DI170">
        <f t="shared" si="63"/>
        <v>26.37</v>
      </c>
      <c r="DJ170">
        <f>DI170</f>
        <v>26.37</v>
      </c>
      <c r="DK170">
        <v>0</v>
      </c>
      <c r="DL170" t="s">
        <v>3</v>
      </c>
      <c r="DM170">
        <v>0</v>
      </c>
      <c r="DN170" t="s">
        <v>3</v>
      </c>
      <c r="DO170">
        <v>0</v>
      </c>
    </row>
    <row r="171" spans="1:119" x14ac:dyDescent="0.2">
      <c r="A171">
        <f>ROW(Source!A261)</f>
        <v>261</v>
      </c>
      <c r="B171">
        <v>94798619</v>
      </c>
      <c r="C171">
        <v>94799847</v>
      </c>
      <c r="D171">
        <v>121548</v>
      </c>
      <c r="E171">
        <v>1</v>
      </c>
      <c r="F171">
        <v>1</v>
      </c>
      <c r="G171">
        <v>1</v>
      </c>
      <c r="H171">
        <v>1</v>
      </c>
      <c r="I171" t="s">
        <v>28</v>
      </c>
      <c r="J171" t="s">
        <v>3</v>
      </c>
      <c r="K171" t="s">
        <v>705</v>
      </c>
      <c r="L171">
        <v>608254</v>
      </c>
      <c r="N171">
        <v>1013</v>
      </c>
      <c r="O171" t="s">
        <v>706</v>
      </c>
      <c r="P171" t="s">
        <v>706</v>
      </c>
      <c r="Q171">
        <v>1</v>
      </c>
      <c r="W171">
        <v>0</v>
      </c>
      <c r="X171">
        <v>-185737400</v>
      </c>
      <c r="Y171">
        <f t="shared" si="65"/>
        <v>3.82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</v>
      </c>
      <c r="AL171">
        <v>1</v>
      </c>
      <c r="AM171">
        <v>-2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3.82</v>
      </c>
      <c r="AU171" t="s">
        <v>3</v>
      </c>
      <c r="AV171">
        <v>2</v>
      </c>
      <c r="AW171">
        <v>2</v>
      </c>
      <c r="AX171">
        <v>94799849</v>
      </c>
      <c r="AY171">
        <v>1</v>
      </c>
      <c r="AZ171">
        <v>0</v>
      </c>
      <c r="BA171">
        <v>171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V171">
        <v>0</v>
      </c>
      <c r="CW171">
        <v>0</v>
      </c>
      <c r="CX171">
        <f>ROUND(Y171*Source!I261,9)</f>
        <v>0.19481999999999999</v>
      </c>
      <c r="CY171">
        <f>AD171</f>
        <v>0</v>
      </c>
      <c r="CZ171">
        <f>AH171</f>
        <v>0</v>
      </c>
      <c r="DA171">
        <f>AL171</f>
        <v>1</v>
      </c>
      <c r="DB171">
        <f t="shared" si="66"/>
        <v>0</v>
      </c>
      <c r="DC171">
        <f t="shared" si="67"/>
        <v>0</v>
      </c>
      <c r="DD171" t="s">
        <v>3</v>
      </c>
      <c r="DE171" t="s">
        <v>3</v>
      </c>
      <c r="DF171">
        <f t="shared" si="68"/>
        <v>0</v>
      </c>
      <c r="DG171">
        <f>ROUND(ROUND(AF171,2)*CX171,2)</f>
        <v>0</v>
      </c>
      <c r="DH171">
        <f>ROUND(ROUND(AG171,2)*CX171,2)</f>
        <v>0</v>
      </c>
      <c r="DI171">
        <f t="shared" si="63"/>
        <v>0</v>
      </c>
      <c r="DJ171">
        <f>DI171</f>
        <v>0</v>
      </c>
      <c r="DK171">
        <v>0</v>
      </c>
      <c r="DL171" t="s">
        <v>3</v>
      </c>
      <c r="DM171">
        <v>0</v>
      </c>
      <c r="DN171" t="s">
        <v>3</v>
      </c>
      <c r="DO171">
        <v>0</v>
      </c>
    </row>
    <row r="172" spans="1:119" x14ac:dyDescent="0.2">
      <c r="A172">
        <f>ROW(Source!A261)</f>
        <v>261</v>
      </c>
      <c r="B172">
        <v>94798619</v>
      </c>
      <c r="C172">
        <v>94799847</v>
      </c>
      <c r="D172">
        <v>37802375</v>
      </c>
      <c r="E172">
        <v>1</v>
      </c>
      <c r="F172">
        <v>1</v>
      </c>
      <c r="G172">
        <v>1</v>
      </c>
      <c r="H172">
        <v>2</v>
      </c>
      <c r="I172" t="s">
        <v>821</v>
      </c>
      <c r="J172" t="s">
        <v>822</v>
      </c>
      <c r="K172" t="s">
        <v>823</v>
      </c>
      <c r="L172">
        <v>1368</v>
      </c>
      <c r="N172">
        <v>1011</v>
      </c>
      <c r="O172" t="s">
        <v>700</v>
      </c>
      <c r="P172" t="s">
        <v>700</v>
      </c>
      <c r="Q172">
        <v>1</v>
      </c>
      <c r="W172">
        <v>0</v>
      </c>
      <c r="X172">
        <v>1827899330</v>
      </c>
      <c r="Y172">
        <f t="shared" si="65"/>
        <v>0.1</v>
      </c>
      <c r="AA172">
        <v>0</v>
      </c>
      <c r="AB172">
        <v>1791.92</v>
      </c>
      <c r="AC172">
        <v>486.02</v>
      </c>
      <c r="AD172">
        <v>0</v>
      </c>
      <c r="AE172">
        <v>0</v>
      </c>
      <c r="AF172">
        <v>159.85</v>
      </c>
      <c r="AG172">
        <v>13.78</v>
      </c>
      <c r="AH172">
        <v>0</v>
      </c>
      <c r="AI172">
        <v>1</v>
      </c>
      <c r="AJ172">
        <v>11.21</v>
      </c>
      <c r="AK172">
        <v>35.270000000000003</v>
      </c>
      <c r="AL172">
        <v>1</v>
      </c>
      <c r="AM172">
        <v>2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</v>
      </c>
      <c r="AT172">
        <v>0.1</v>
      </c>
      <c r="AU172" t="s">
        <v>3</v>
      </c>
      <c r="AV172">
        <v>0</v>
      </c>
      <c r="AW172">
        <v>2</v>
      </c>
      <c r="AX172">
        <v>94799850</v>
      </c>
      <c r="AY172">
        <v>1</v>
      </c>
      <c r="AZ172">
        <v>0</v>
      </c>
      <c r="BA172">
        <v>172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V172">
        <v>0</v>
      </c>
      <c r="CW172">
        <f>ROUND(Y172*Source!I261*DO172,9)</f>
        <v>0</v>
      </c>
      <c r="CX172">
        <f>ROUND(Y172*Source!I261,9)</f>
        <v>5.1000000000000004E-3</v>
      </c>
      <c r="CY172">
        <f t="shared" ref="CY172:CY177" si="69">AB172</f>
        <v>1791.92</v>
      </c>
      <c r="CZ172">
        <f t="shared" ref="CZ172:CZ177" si="70">AF172</f>
        <v>159.85</v>
      </c>
      <c r="DA172">
        <f t="shared" ref="DA172:DA177" si="71">AJ172</f>
        <v>11.21</v>
      </c>
      <c r="DB172">
        <f t="shared" si="66"/>
        <v>15.99</v>
      </c>
      <c r="DC172">
        <f t="shared" si="67"/>
        <v>1.38</v>
      </c>
      <c r="DD172" t="s">
        <v>3</v>
      </c>
      <c r="DE172" t="s">
        <v>3</v>
      </c>
      <c r="DF172">
        <f t="shared" si="68"/>
        <v>0</v>
      </c>
      <c r="DG172">
        <f t="shared" ref="DG172:DG177" si="72">ROUND(ROUND(AF172*AJ172,2)*CX172,2)</f>
        <v>9.14</v>
      </c>
      <c r="DH172">
        <f t="shared" ref="DH172:DH177" si="73">ROUND(ROUND(AG172*AK172,2)*CX172,2)</f>
        <v>2.48</v>
      </c>
      <c r="DI172">
        <f t="shared" si="63"/>
        <v>0</v>
      </c>
      <c r="DJ172">
        <f t="shared" ref="DJ172:DJ177" si="74">DG172</f>
        <v>9.14</v>
      </c>
      <c r="DK172">
        <v>0</v>
      </c>
      <c r="DL172" t="s">
        <v>3</v>
      </c>
      <c r="DM172">
        <v>0</v>
      </c>
      <c r="DN172" t="s">
        <v>3</v>
      </c>
      <c r="DO172">
        <v>0</v>
      </c>
    </row>
    <row r="173" spans="1:119" x14ac:dyDescent="0.2">
      <c r="A173">
        <f>ROW(Source!A261)</f>
        <v>261</v>
      </c>
      <c r="B173">
        <v>94798619</v>
      </c>
      <c r="C173">
        <v>94799847</v>
      </c>
      <c r="D173">
        <v>37802443</v>
      </c>
      <c r="E173">
        <v>1</v>
      </c>
      <c r="F173">
        <v>1</v>
      </c>
      <c r="G173">
        <v>1</v>
      </c>
      <c r="H173">
        <v>2</v>
      </c>
      <c r="I173" t="s">
        <v>721</v>
      </c>
      <c r="J173" t="s">
        <v>722</v>
      </c>
      <c r="K173" t="s">
        <v>723</v>
      </c>
      <c r="L173">
        <v>1368</v>
      </c>
      <c r="N173">
        <v>1011</v>
      </c>
      <c r="O173" t="s">
        <v>700</v>
      </c>
      <c r="P173" t="s">
        <v>700</v>
      </c>
      <c r="Q173">
        <v>1</v>
      </c>
      <c r="W173">
        <v>0</v>
      </c>
      <c r="X173">
        <v>1447433125</v>
      </c>
      <c r="Y173">
        <f t="shared" si="65"/>
        <v>0.12</v>
      </c>
      <c r="AA173">
        <v>0</v>
      </c>
      <c r="AB173">
        <v>1453.68</v>
      </c>
      <c r="AC173">
        <v>426.77</v>
      </c>
      <c r="AD173">
        <v>0</v>
      </c>
      <c r="AE173">
        <v>0</v>
      </c>
      <c r="AF173">
        <v>124.14</v>
      </c>
      <c r="AG173">
        <v>12.1</v>
      </c>
      <c r="AH173">
        <v>0</v>
      </c>
      <c r="AI173">
        <v>1</v>
      </c>
      <c r="AJ173">
        <v>11.71</v>
      </c>
      <c r="AK173">
        <v>35.270000000000003</v>
      </c>
      <c r="AL173">
        <v>1</v>
      </c>
      <c r="AM173">
        <v>2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</v>
      </c>
      <c r="AT173">
        <v>0.12</v>
      </c>
      <c r="AU173" t="s">
        <v>3</v>
      </c>
      <c r="AV173">
        <v>0</v>
      </c>
      <c r="AW173">
        <v>2</v>
      </c>
      <c r="AX173">
        <v>94799851</v>
      </c>
      <c r="AY173">
        <v>1</v>
      </c>
      <c r="AZ173">
        <v>0</v>
      </c>
      <c r="BA173">
        <v>173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V173">
        <v>0</v>
      </c>
      <c r="CW173">
        <f>ROUND(Y173*Source!I261*DO173,9)</f>
        <v>0</v>
      </c>
      <c r="CX173">
        <f>ROUND(Y173*Source!I261,9)</f>
        <v>6.1199999999999996E-3</v>
      </c>
      <c r="CY173">
        <f t="shared" si="69"/>
        <v>1453.68</v>
      </c>
      <c r="CZ173">
        <f t="shared" si="70"/>
        <v>124.14</v>
      </c>
      <c r="DA173">
        <f t="shared" si="71"/>
        <v>11.71</v>
      </c>
      <c r="DB173">
        <f t="shared" si="66"/>
        <v>14.9</v>
      </c>
      <c r="DC173">
        <f t="shared" si="67"/>
        <v>1.45</v>
      </c>
      <c r="DD173" t="s">
        <v>3</v>
      </c>
      <c r="DE173" t="s">
        <v>3</v>
      </c>
      <c r="DF173">
        <f t="shared" si="68"/>
        <v>0</v>
      </c>
      <c r="DG173">
        <f t="shared" si="72"/>
        <v>8.9</v>
      </c>
      <c r="DH173">
        <f t="shared" si="73"/>
        <v>2.61</v>
      </c>
      <c r="DI173">
        <f t="shared" si="63"/>
        <v>0</v>
      </c>
      <c r="DJ173">
        <f t="shared" si="74"/>
        <v>8.9</v>
      </c>
      <c r="DK173">
        <v>0</v>
      </c>
      <c r="DL173" t="s">
        <v>3</v>
      </c>
      <c r="DM173">
        <v>0</v>
      </c>
      <c r="DN173" t="s">
        <v>3</v>
      </c>
      <c r="DO173">
        <v>0</v>
      </c>
    </row>
    <row r="174" spans="1:119" x14ac:dyDescent="0.2">
      <c r="A174">
        <f>ROW(Source!A261)</f>
        <v>261</v>
      </c>
      <c r="B174">
        <v>94798619</v>
      </c>
      <c r="C174">
        <v>94799847</v>
      </c>
      <c r="D174">
        <v>37802464</v>
      </c>
      <c r="E174">
        <v>1</v>
      </c>
      <c r="F174">
        <v>1</v>
      </c>
      <c r="G174">
        <v>1</v>
      </c>
      <c r="H174">
        <v>2</v>
      </c>
      <c r="I174" t="s">
        <v>909</v>
      </c>
      <c r="J174" t="s">
        <v>910</v>
      </c>
      <c r="K174" t="s">
        <v>911</v>
      </c>
      <c r="L174">
        <v>1368</v>
      </c>
      <c r="N174">
        <v>1011</v>
      </c>
      <c r="O174" t="s">
        <v>700</v>
      </c>
      <c r="P174" t="s">
        <v>700</v>
      </c>
      <c r="Q174">
        <v>1</v>
      </c>
      <c r="W174">
        <v>0</v>
      </c>
      <c r="X174">
        <v>-1284593515</v>
      </c>
      <c r="Y174">
        <f t="shared" si="65"/>
        <v>3.6</v>
      </c>
      <c r="AA174">
        <v>0</v>
      </c>
      <c r="AB174">
        <v>2146.34</v>
      </c>
      <c r="AC174">
        <v>426.77</v>
      </c>
      <c r="AD174">
        <v>0</v>
      </c>
      <c r="AE174">
        <v>0</v>
      </c>
      <c r="AF174">
        <v>142.33000000000001</v>
      </c>
      <c r="AG174">
        <v>12.1</v>
      </c>
      <c r="AH174">
        <v>0</v>
      </c>
      <c r="AI174">
        <v>1</v>
      </c>
      <c r="AJ174">
        <v>15.08</v>
      </c>
      <c r="AK174">
        <v>35.270000000000003</v>
      </c>
      <c r="AL174">
        <v>1</v>
      </c>
      <c r="AM174">
        <v>2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</v>
      </c>
      <c r="AT174">
        <v>3.6</v>
      </c>
      <c r="AU174" t="s">
        <v>3</v>
      </c>
      <c r="AV174">
        <v>0</v>
      </c>
      <c r="AW174">
        <v>2</v>
      </c>
      <c r="AX174">
        <v>94799852</v>
      </c>
      <c r="AY174">
        <v>1</v>
      </c>
      <c r="AZ174">
        <v>0</v>
      </c>
      <c r="BA174">
        <v>174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V174">
        <v>0</v>
      </c>
      <c r="CW174">
        <f>ROUND(Y174*Source!I261*DO174,9)</f>
        <v>0</v>
      </c>
      <c r="CX174">
        <f>ROUND(Y174*Source!I261,9)</f>
        <v>0.18360000000000001</v>
      </c>
      <c r="CY174">
        <f t="shared" si="69"/>
        <v>2146.34</v>
      </c>
      <c r="CZ174">
        <f t="shared" si="70"/>
        <v>142.33000000000001</v>
      </c>
      <c r="DA174">
        <f t="shared" si="71"/>
        <v>15.08</v>
      </c>
      <c r="DB174">
        <f t="shared" si="66"/>
        <v>512.39</v>
      </c>
      <c r="DC174">
        <f t="shared" si="67"/>
        <v>43.56</v>
      </c>
      <c r="DD174" t="s">
        <v>3</v>
      </c>
      <c r="DE174" t="s">
        <v>3</v>
      </c>
      <c r="DF174">
        <f t="shared" si="68"/>
        <v>0</v>
      </c>
      <c r="DG174">
        <f t="shared" si="72"/>
        <v>394.07</v>
      </c>
      <c r="DH174">
        <f t="shared" si="73"/>
        <v>78.349999999999994</v>
      </c>
      <c r="DI174">
        <f t="shared" si="63"/>
        <v>0</v>
      </c>
      <c r="DJ174">
        <f t="shared" si="74"/>
        <v>394.07</v>
      </c>
      <c r="DK174">
        <v>0</v>
      </c>
      <c r="DL174" t="s">
        <v>3</v>
      </c>
      <c r="DM174">
        <v>0</v>
      </c>
      <c r="DN174" t="s">
        <v>3</v>
      </c>
      <c r="DO174">
        <v>0</v>
      </c>
    </row>
    <row r="175" spans="1:119" x14ac:dyDescent="0.2">
      <c r="A175">
        <f>ROW(Source!A261)</f>
        <v>261</v>
      </c>
      <c r="B175">
        <v>94798619</v>
      </c>
      <c r="C175">
        <v>94799847</v>
      </c>
      <c r="D175">
        <v>37802659</v>
      </c>
      <c r="E175">
        <v>1</v>
      </c>
      <c r="F175">
        <v>1</v>
      </c>
      <c r="G175">
        <v>1</v>
      </c>
      <c r="H175">
        <v>2</v>
      </c>
      <c r="I175" t="s">
        <v>777</v>
      </c>
      <c r="J175" t="s">
        <v>778</v>
      </c>
      <c r="K175" t="s">
        <v>779</v>
      </c>
      <c r="L175">
        <v>1368</v>
      </c>
      <c r="N175">
        <v>1011</v>
      </c>
      <c r="O175" t="s">
        <v>700</v>
      </c>
      <c r="P175" t="s">
        <v>700</v>
      </c>
      <c r="Q175">
        <v>1</v>
      </c>
      <c r="W175">
        <v>0</v>
      </c>
      <c r="X175">
        <v>4083802</v>
      </c>
      <c r="Y175">
        <f t="shared" si="65"/>
        <v>1.46</v>
      </c>
      <c r="AA175">
        <v>0</v>
      </c>
      <c r="AB175">
        <v>9.35</v>
      </c>
      <c r="AC175">
        <v>0</v>
      </c>
      <c r="AD175">
        <v>0</v>
      </c>
      <c r="AE175">
        <v>0</v>
      </c>
      <c r="AF175">
        <v>1.43</v>
      </c>
      <c r="AG175">
        <v>0</v>
      </c>
      <c r="AH175">
        <v>0</v>
      </c>
      <c r="AI175">
        <v>1</v>
      </c>
      <c r="AJ175">
        <v>6.54</v>
      </c>
      <c r="AK175">
        <v>35.270000000000003</v>
      </c>
      <c r="AL175">
        <v>1</v>
      </c>
      <c r="AM175">
        <v>2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</v>
      </c>
      <c r="AT175">
        <v>1.46</v>
      </c>
      <c r="AU175" t="s">
        <v>3</v>
      </c>
      <c r="AV175">
        <v>0</v>
      </c>
      <c r="AW175">
        <v>2</v>
      </c>
      <c r="AX175">
        <v>94799853</v>
      </c>
      <c r="AY175">
        <v>1</v>
      </c>
      <c r="AZ175">
        <v>0</v>
      </c>
      <c r="BA175">
        <v>175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V175">
        <v>0</v>
      </c>
      <c r="CW175">
        <f>ROUND(Y175*Source!I261*DO175,9)</f>
        <v>0</v>
      </c>
      <c r="CX175">
        <f>ROUND(Y175*Source!I261,9)</f>
        <v>7.4459999999999998E-2</v>
      </c>
      <c r="CY175">
        <f t="shared" si="69"/>
        <v>9.35</v>
      </c>
      <c r="CZ175">
        <f t="shared" si="70"/>
        <v>1.43</v>
      </c>
      <c r="DA175">
        <f t="shared" si="71"/>
        <v>6.54</v>
      </c>
      <c r="DB175">
        <f t="shared" si="66"/>
        <v>2.09</v>
      </c>
      <c r="DC175">
        <f t="shared" si="67"/>
        <v>0</v>
      </c>
      <c r="DD175" t="s">
        <v>3</v>
      </c>
      <c r="DE175" t="s">
        <v>3</v>
      </c>
      <c r="DF175">
        <f t="shared" si="68"/>
        <v>0</v>
      </c>
      <c r="DG175">
        <f t="shared" si="72"/>
        <v>0.7</v>
      </c>
      <c r="DH175">
        <f t="shared" si="73"/>
        <v>0</v>
      </c>
      <c r="DI175">
        <f t="shared" si="63"/>
        <v>0</v>
      </c>
      <c r="DJ175">
        <f t="shared" si="74"/>
        <v>0.7</v>
      </c>
      <c r="DK175">
        <v>0</v>
      </c>
      <c r="DL175" t="s">
        <v>3</v>
      </c>
      <c r="DM175">
        <v>0</v>
      </c>
      <c r="DN175" t="s">
        <v>3</v>
      </c>
      <c r="DO175">
        <v>0</v>
      </c>
    </row>
    <row r="176" spans="1:119" x14ac:dyDescent="0.2">
      <c r="A176">
        <f>ROW(Source!A261)</f>
        <v>261</v>
      </c>
      <c r="B176">
        <v>94798619</v>
      </c>
      <c r="C176">
        <v>94799847</v>
      </c>
      <c r="D176">
        <v>37802669</v>
      </c>
      <c r="E176">
        <v>1</v>
      </c>
      <c r="F176">
        <v>1</v>
      </c>
      <c r="G176">
        <v>1</v>
      </c>
      <c r="H176">
        <v>2</v>
      </c>
      <c r="I176" t="s">
        <v>833</v>
      </c>
      <c r="J176" t="s">
        <v>834</v>
      </c>
      <c r="K176" t="s">
        <v>835</v>
      </c>
      <c r="L176">
        <v>1368</v>
      </c>
      <c r="N176">
        <v>1011</v>
      </c>
      <c r="O176" t="s">
        <v>700</v>
      </c>
      <c r="P176" t="s">
        <v>700</v>
      </c>
      <c r="Q176">
        <v>1</v>
      </c>
      <c r="W176">
        <v>0</v>
      </c>
      <c r="X176">
        <v>1565869296</v>
      </c>
      <c r="Y176">
        <f t="shared" si="65"/>
        <v>0.1</v>
      </c>
      <c r="AA176">
        <v>0</v>
      </c>
      <c r="AB176">
        <v>116.79</v>
      </c>
      <c r="AC176">
        <v>0</v>
      </c>
      <c r="AD176">
        <v>0</v>
      </c>
      <c r="AE176">
        <v>0</v>
      </c>
      <c r="AF176">
        <v>9.6999999999999993</v>
      </c>
      <c r="AG176">
        <v>0</v>
      </c>
      <c r="AH176">
        <v>0</v>
      </c>
      <c r="AI176">
        <v>1</v>
      </c>
      <c r="AJ176">
        <v>12.04</v>
      </c>
      <c r="AK176">
        <v>35.270000000000003</v>
      </c>
      <c r="AL176">
        <v>1</v>
      </c>
      <c r="AM176">
        <v>2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</v>
      </c>
      <c r="AT176">
        <v>0.1</v>
      </c>
      <c r="AU176" t="s">
        <v>3</v>
      </c>
      <c r="AV176">
        <v>0</v>
      </c>
      <c r="AW176">
        <v>2</v>
      </c>
      <c r="AX176">
        <v>94799854</v>
      </c>
      <c r="AY176">
        <v>1</v>
      </c>
      <c r="AZ176">
        <v>0</v>
      </c>
      <c r="BA176">
        <v>176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V176">
        <v>0</v>
      </c>
      <c r="CW176">
        <f>ROUND(Y176*Source!I261*DO176,9)</f>
        <v>0</v>
      </c>
      <c r="CX176">
        <f>ROUND(Y176*Source!I261,9)</f>
        <v>5.1000000000000004E-3</v>
      </c>
      <c r="CY176">
        <f t="shared" si="69"/>
        <v>116.79</v>
      </c>
      <c r="CZ176">
        <f t="shared" si="70"/>
        <v>9.6999999999999993</v>
      </c>
      <c r="DA176">
        <f t="shared" si="71"/>
        <v>12.04</v>
      </c>
      <c r="DB176">
        <f t="shared" si="66"/>
        <v>0.97</v>
      </c>
      <c r="DC176">
        <f t="shared" si="67"/>
        <v>0</v>
      </c>
      <c r="DD176" t="s">
        <v>3</v>
      </c>
      <c r="DE176" t="s">
        <v>3</v>
      </c>
      <c r="DF176">
        <f t="shared" si="68"/>
        <v>0</v>
      </c>
      <c r="DG176">
        <f t="shared" si="72"/>
        <v>0.6</v>
      </c>
      <c r="DH176">
        <f t="shared" si="73"/>
        <v>0</v>
      </c>
      <c r="DI176">
        <f t="shared" si="63"/>
        <v>0</v>
      </c>
      <c r="DJ176">
        <f t="shared" si="74"/>
        <v>0.6</v>
      </c>
      <c r="DK176">
        <v>0</v>
      </c>
      <c r="DL176" t="s">
        <v>3</v>
      </c>
      <c r="DM176">
        <v>0</v>
      </c>
      <c r="DN176" t="s">
        <v>3</v>
      </c>
      <c r="DO176">
        <v>0</v>
      </c>
    </row>
    <row r="177" spans="1:119" x14ac:dyDescent="0.2">
      <c r="A177">
        <f>ROW(Source!A261)</f>
        <v>261</v>
      </c>
      <c r="B177">
        <v>94798619</v>
      </c>
      <c r="C177">
        <v>94799847</v>
      </c>
      <c r="D177">
        <v>37804456</v>
      </c>
      <c r="E177">
        <v>1</v>
      </c>
      <c r="F177">
        <v>1</v>
      </c>
      <c r="G177">
        <v>1</v>
      </c>
      <c r="H177">
        <v>2</v>
      </c>
      <c r="I177" t="s">
        <v>713</v>
      </c>
      <c r="J177" t="s">
        <v>714</v>
      </c>
      <c r="K177" t="s">
        <v>715</v>
      </c>
      <c r="L177">
        <v>1368</v>
      </c>
      <c r="N177">
        <v>1011</v>
      </c>
      <c r="O177" t="s">
        <v>700</v>
      </c>
      <c r="P177" t="s">
        <v>700</v>
      </c>
      <c r="Q177">
        <v>1</v>
      </c>
      <c r="W177">
        <v>0</v>
      </c>
      <c r="X177">
        <v>-671646184</v>
      </c>
      <c r="Y177">
        <f t="shared" si="65"/>
        <v>0.19</v>
      </c>
      <c r="AA177">
        <v>0</v>
      </c>
      <c r="AB177">
        <v>1305.74</v>
      </c>
      <c r="AC177">
        <v>365.04</v>
      </c>
      <c r="AD177">
        <v>0</v>
      </c>
      <c r="AE177">
        <v>0</v>
      </c>
      <c r="AF177">
        <v>91.76</v>
      </c>
      <c r="AG177">
        <v>10.35</v>
      </c>
      <c r="AH177">
        <v>0</v>
      </c>
      <c r="AI177">
        <v>1</v>
      </c>
      <c r="AJ177">
        <v>14.23</v>
      </c>
      <c r="AK177">
        <v>35.270000000000003</v>
      </c>
      <c r="AL177">
        <v>1</v>
      </c>
      <c r="AM177">
        <v>2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</v>
      </c>
      <c r="AT177">
        <v>0.19</v>
      </c>
      <c r="AU177" t="s">
        <v>3</v>
      </c>
      <c r="AV177">
        <v>0</v>
      </c>
      <c r="AW177">
        <v>2</v>
      </c>
      <c r="AX177">
        <v>94799855</v>
      </c>
      <c r="AY177">
        <v>1</v>
      </c>
      <c r="AZ177">
        <v>0</v>
      </c>
      <c r="BA177">
        <v>177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V177">
        <v>0</v>
      </c>
      <c r="CW177">
        <f>ROUND(Y177*Source!I261*DO177,9)</f>
        <v>0</v>
      </c>
      <c r="CX177">
        <f>ROUND(Y177*Source!I261,9)</f>
        <v>9.6900000000000007E-3</v>
      </c>
      <c r="CY177">
        <f t="shared" si="69"/>
        <v>1305.74</v>
      </c>
      <c r="CZ177">
        <f t="shared" si="70"/>
        <v>91.76</v>
      </c>
      <c r="DA177">
        <f t="shared" si="71"/>
        <v>14.23</v>
      </c>
      <c r="DB177">
        <f t="shared" si="66"/>
        <v>17.43</v>
      </c>
      <c r="DC177">
        <f t="shared" si="67"/>
        <v>1.97</v>
      </c>
      <c r="DD177" t="s">
        <v>3</v>
      </c>
      <c r="DE177" t="s">
        <v>3</v>
      </c>
      <c r="DF177">
        <f t="shared" si="68"/>
        <v>0</v>
      </c>
      <c r="DG177">
        <f t="shared" si="72"/>
        <v>12.65</v>
      </c>
      <c r="DH177">
        <f t="shared" si="73"/>
        <v>3.54</v>
      </c>
      <c r="DI177">
        <f t="shared" si="63"/>
        <v>0</v>
      </c>
      <c r="DJ177">
        <f t="shared" si="74"/>
        <v>12.65</v>
      </c>
      <c r="DK177">
        <v>0</v>
      </c>
      <c r="DL177" t="s">
        <v>3</v>
      </c>
      <c r="DM177">
        <v>0</v>
      </c>
      <c r="DN177" t="s">
        <v>3</v>
      </c>
      <c r="DO177">
        <v>0</v>
      </c>
    </row>
    <row r="178" spans="1:119" x14ac:dyDescent="0.2">
      <c r="A178">
        <f>ROW(Source!A261)</f>
        <v>261</v>
      </c>
      <c r="B178">
        <v>94798619</v>
      </c>
      <c r="C178">
        <v>94799847</v>
      </c>
      <c r="D178">
        <v>37730053</v>
      </c>
      <c r="E178">
        <v>1</v>
      </c>
      <c r="F178">
        <v>1</v>
      </c>
      <c r="G178">
        <v>1</v>
      </c>
      <c r="H178">
        <v>3</v>
      </c>
      <c r="I178" t="s">
        <v>839</v>
      </c>
      <c r="J178" t="s">
        <v>840</v>
      </c>
      <c r="K178" t="s">
        <v>841</v>
      </c>
      <c r="L178">
        <v>1348</v>
      </c>
      <c r="N178">
        <v>1009</v>
      </c>
      <c r="O178" t="s">
        <v>170</v>
      </c>
      <c r="P178" t="s">
        <v>170</v>
      </c>
      <c r="Q178">
        <v>1000</v>
      </c>
      <c r="W178">
        <v>0</v>
      </c>
      <c r="X178">
        <v>-1280064888</v>
      </c>
      <c r="Y178">
        <f t="shared" si="65"/>
        <v>1E-4</v>
      </c>
      <c r="AA178">
        <v>231948</v>
      </c>
      <c r="AB178">
        <v>0</v>
      </c>
      <c r="AC178">
        <v>0</v>
      </c>
      <c r="AD178">
        <v>0</v>
      </c>
      <c r="AE178">
        <v>37900</v>
      </c>
      <c r="AF178">
        <v>0</v>
      </c>
      <c r="AG178">
        <v>0</v>
      </c>
      <c r="AH178">
        <v>0</v>
      </c>
      <c r="AI178">
        <v>6.12</v>
      </c>
      <c r="AJ178">
        <v>1</v>
      </c>
      <c r="AK178">
        <v>1</v>
      </c>
      <c r="AL178">
        <v>1</v>
      </c>
      <c r="AM178">
        <v>2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3</v>
      </c>
      <c r="AT178">
        <v>1E-4</v>
      </c>
      <c r="AU178" t="s">
        <v>3</v>
      </c>
      <c r="AV178">
        <v>0</v>
      </c>
      <c r="AW178">
        <v>2</v>
      </c>
      <c r="AX178">
        <v>94799856</v>
      </c>
      <c r="AY178">
        <v>1</v>
      </c>
      <c r="AZ178">
        <v>0</v>
      </c>
      <c r="BA178">
        <v>178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V178">
        <v>0</v>
      </c>
      <c r="CW178">
        <v>0</v>
      </c>
      <c r="CX178">
        <f>ROUND(Y178*Source!I261,9)</f>
        <v>5.1000000000000003E-6</v>
      </c>
      <c r="CY178">
        <f t="shared" ref="CY178:CY191" si="75">AA178</f>
        <v>231948</v>
      </c>
      <c r="CZ178">
        <f t="shared" ref="CZ178:CZ191" si="76">AE178</f>
        <v>37900</v>
      </c>
      <c r="DA178">
        <f t="shared" ref="DA178:DA191" si="77">AI178</f>
        <v>6.12</v>
      </c>
      <c r="DB178">
        <f t="shared" si="66"/>
        <v>3.79</v>
      </c>
      <c r="DC178">
        <f t="shared" si="67"/>
        <v>0</v>
      </c>
      <c r="DD178" t="s">
        <v>3</v>
      </c>
      <c r="DE178" t="s">
        <v>3</v>
      </c>
      <c r="DF178">
        <f t="shared" ref="DF178:DF189" si="78">ROUND(ROUND(AE178*AI178,2)*CX178,2)</f>
        <v>1.18</v>
      </c>
      <c r="DG178">
        <f t="shared" ref="DG178:DG193" si="79">ROUND(ROUND(AF178,2)*CX178,2)</f>
        <v>0</v>
      </c>
      <c r="DH178">
        <f t="shared" ref="DH178:DH193" si="80">ROUND(ROUND(AG178,2)*CX178,2)</f>
        <v>0</v>
      </c>
      <c r="DI178">
        <f t="shared" si="63"/>
        <v>0</v>
      </c>
      <c r="DJ178">
        <f t="shared" ref="DJ178:DJ191" si="81">DF178</f>
        <v>1.18</v>
      </c>
      <c r="DK178">
        <v>0</v>
      </c>
      <c r="DL178" t="s">
        <v>3</v>
      </c>
      <c r="DM178">
        <v>0</v>
      </c>
      <c r="DN178" t="s">
        <v>3</v>
      </c>
      <c r="DO178">
        <v>0</v>
      </c>
    </row>
    <row r="179" spans="1:119" x14ac:dyDescent="0.2">
      <c r="A179">
        <f>ROW(Source!A261)</f>
        <v>261</v>
      </c>
      <c r="B179">
        <v>94798619</v>
      </c>
      <c r="C179">
        <v>94799847</v>
      </c>
      <c r="D179">
        <v>37729659</v>
      </c>
      <c r="E179">
        <v>1</v>
      </c>
      <c r="F179">
        <v>1</v>
      </c>
      <c r="G179">
        <v>1</v>
      </c>
      <c r="H179">
        <v>3</v>
      </c>
      <c r="I179" t="s">
        <v>187</v>
      </c>
      <c r="J179" t="s">
        <v>189</v>
      </c>
      <c r="K179" t="s">
        <v>188</v>
      </c>
      <c r="L179">
        <v>1339</v>
      </c>
      <c r="N179">
        <v>1007</v>
      </c>
      <c r="O179" t="s">
        <v>52</v>
      </c>
      <c r="P179" t="s">
        <v>52</v>
      </c>
      <c r="Q179">
        <v>1</v>
      </c>
      <c r="W179">
        <v>0</v>
      </c>
      <c r="X179">
        <v>-821751618</v>
      </c>
      <c r="Y179">
        <f t="shared" si="65"/>
        <v>1.2</v>
      </c>
      <c r="AA179">
        <v>118.62</v>
      </c>
      <c r="AB179">
        <v>0</v>
      </c>
      <c r="AC179">
        <v>0</v>
      </c>
      <c r="AD179">
        <v>0</v>
      </c>
      <c r="AE179">
        <v>6.22</v>
      </c>
      <c r="AF179">
        <v>0</v>
      </c>
      <c r="AG179">
        <v>0</v>
      </c>
      <c r="AH179">
        <v>0</v>
      </c>
      <c r="AI179">
        <v>19.07</v>
      </c>
      <c r="AJ179">
        <v>1</v>
      </c>
      <c r="AK179">
        <v>1</v>
      </c>
      <c r="AL179">
        <v>1</v>
      </c>
      <c r="AM179">
        <v>2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3</v>
      </c>
      <c r="AT179">
        <v>1.2</v>
      </c>
      <c r="AU179" t="s">
        <v>3</v>
      </c>
      <c r="AV179">
        <v>0</v>
      </c>
      <c r="AW179">
        <v>2</v>
      </c>
      <c r="AX179">
        <v>94799857</v>
      </c>
      <c r="AY179">
        <v>1</v>
      </c>
      <c r="AZ179">
        <v>0</v>
      </c>
      <c r="BA179">
        <v>179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V179">
        <v>0</v>
      </c>
      <c r="CW179">
        <v>0</v>
      </c>
      <c r="CX179">
        <f>ROUND(Y179*Source!I261,9)</f>
        <v>6.1199999999999997E-2</v>
      </c>
      <c r="CY179">
        <f t="shared" si="75"/>
        <v>118.62</v>
      </c>
      <c r="CZ179">
        <f t="shared" si="76"/>
        <v>6.22</v>
      </c>
      <c r="DA179">
        <f t="shared" si="77"/>
        <v>19.07</v>
      </c>
      <c r="DB179">
        <f t="shared" si="66"/>
        <v>7.46</v>
      </c>
      <c r="DC179">
        <f t="shared" si="67"/>
        <v>0</v>
      </c>
      <c r="DD179" t="s">
        <v>3</v>
      </c>
      <c r="DE179" t="s">
        <v>3</v>
      </c>
      <c r="DF179">
        <f t="shared" si="78"/>
        <v>7.26</v>
      </c>
      <c r="DG179">
        <f t="shared" si="79"/>
        <v>0</v>
      </c>
      <c r="DH179">
        <f t="shared" si="80"/>
        <v>0</v>
      </c>
      <c r="DI179">
        <f t="shared" si="63"/>
        <v>0</v>
      </c>
      <c r="DJ179">
        <f t="shared" si="81"/>
        <v>7.26</v>
      </c>
      <c r="DK179">
        <v>0</v>
      </c>
      <c r="DL179" t="s">
        <v>3</v>
      </c>
      <c r="DM179">
        <v>0</v>
      </c>
      <c r="DN179" t="s">
        <v>3</v>
      </c>
      <c r="DO179">
        <v>0</v>
      </c>
    </row>
    <row r="180" spans="1:119" x14ac:dyDescent="0.2">
      <c r="A180">
        <f>ROW(Source!A261)</f>
        <v>261</v>
      </c>
      <c r="B180">
        <v>94798619</v>
      </c>
      <c r="C180">
        <v>94799847</v>
      </c>
      <c r="D180">
        <v>37736264</v>
      </c>
      <c r="E180">
        <v>1</v>
      </c>
      <c r="F180">
        <v>1</v>
      </c>
      <c r="G180">
        <v>1</v>
      </c>
      <c r="H180">
        <v>3</v>
      </c>
      <c r="I180" t="s">
        <v>842</v>
      </c>
      <c r="J180" t="s">
        <v>843</v>
      </c>
      <c r="K180" t="s">
        <v>844</v>
      </c>
      <c r="L180">
        <v>1348</v>
      </c>
      <c r="N180">
        <v>1009</v>
      </c>
      <c r="O180" t="s">
        <v>170</v>
      </c>
      <c r="P180" t="s">
        <v>170</v>
      </c>
      <c r="Q180">
        <v>1000</v>
      </c>
      <c r="W180">
        <v>0</v>
      </c>
      <c r="X180">
        <v>1941264678</v>
      </c>
      <c r="Y180">
        <f t="shared" si="65"/>
        <v>3.0000000000000001E-5</v>
      </c>
      <c r="AA180">
        <v>31452.3</v>
      </c>
      <c r="AB180">
        <v>0</v>
      </c>
      <c r="AC180">
        <v>0</v>
      </c>
      <c r="AD180">
        <v>0</v>
      </c>
      <c r="AE180">
        <v>4455</v>
      </c>
      <c r="AF180">
        <v>0</v>
      </c>
      <c r="AG180">
        <v>0</v>
      </c>
      <c r="AH180">
        <v>0</v>
      </c>
      <c r="AI180">
        <v>7.06</v>
      </c>
      <c r="AJ180">
        <v>1</v>
      </c>
      <c r="AK180">
        <v>1</v>
      </c>
      <c r="AL180">
        <v>1</v>
      </c>
      <c r="AM180">
        <v>2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</v>
      </c>
      <c r="AT180">
        <v>3.0000000000000001E-5</v>
      </c>
      <c r="AU180" t="s">
        <v>3</v>
      </c>
      <c r="AV180">
        <v>0</v>
      </c>
      <c r="AW180">
        <v>2</v>
      </c>
      <c r="AX180">
        <v>94799858</v>
      </c>
      <c r="AY180">
        <v>1</v>
      </c>
      <c r="AZ180">
        <v>0</v>
      </c>
      <c r="BA180">
        <v>180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V180">
        <v>0</v>
      </c>
      <c r="CW180">
        <v>0</v>
      </c>
      <c r="CX180">
        <f>ROUND(Y180*Source!I261,9)</f>
        <v>1.53E-6</v>
      </c>
      <c r="CY180">
        <f t="shared" si="75"/>
        <v>31452.3</v>
      </c>
      <c r="CZ180">
        <f t="shared" si="76"/>
        <v>4455</v>
      </c>
      <c r="DA180">
        <f t="shared" si="77"/>
        <v>7.06</v>
      </c>
      <c r="DB180">
        <f t="shared" si="66"/>
        <v>0.13</v>
      </c>
      <c r="DC180">
        <f t="shared" si="67"/>
        <v>0</v>
      </c>
      <c r="DD180" t="s">
        <v>3</v>
      </c>
      <c r="DE180" t="s">
        <v>3</v>
      </c>
      <c r="DF180">
        <f t="shared" si="78"/>
        <v>0.05</v>
      </c>
      <c r="DG180">
        <f t="shared" si="79"/>
        <v>0</v>
      </c>
      <c r="DH180">
        <f t="shared" si="80"/>
        <v>0</v>
      </c>
      <c r="DI180">
        <f t="shared" si="63"/>
        <v>0</v>
      </c>
      <c r="DJ180">
        <f t="shared" si="81"/>
        <v>0.05</v>
      </c>
      <c r="DK180">
        <v>0</v>
      </c>
      <c r="DL180" t="s">
        <v>3</v>
      </c>
      <c r="DM180">
        <v>0</v>
      </c>
      <c r="DN180" t="s">
        <v>3</v>
      </c>
      <c r="DO180">
        <v>0</v>
      </c>
    </row>
    <row r="181" spans="1:119" x14ac:dyDescent="0.2">
      <c r="A181">
        <f>ROW(Source!A261)</f>
        <v>261</v>
      </c>
      <c r="B181">
        <v>94798619</v>
      </c>
      <c r="C181">
        <v>94799847</v>
      </c>
      <c r="D181">
        <v>37736447</v>
      </c>
      <c r="E181">
        <v>1</v>
      </c>
      <c r="F181">
        <v>1</v>
      </c>
      <c r="G181">
        <v>1</v>
      </c>
      <c r="H181">
        <v>3</v>
      </c>
      <c r="I181" t="s">
        <v>845</v>
      </c>
      <c r="J181" t="s">
        <v>846</v>
      </c>
      <c r="K181" t="s">
        <v>847</v>
      </c>
      <c r="L181">
        <v>1348</v>
      </c>
      <c r="N181">
        <v>1009</v>
      </c>
      <c r="O181" t="s">
        <v>170</v>
      </c>
      <c r="P181" t="s">
        <v>170</v>
      </c>
      <c r="Q181">
        <v>1000</v>
      </c>
      <c r="W181">
        <v>0</v>
      </c>
      <c r="X181">
        <v>-833443196</v>
      </c>
      <c r="Y181">
        <f t="shared" si="65"/>
        <v>1.9400000000000001E-3</v>
      </c>
      <c r="AA181">
        <v>72674</v>
      </c>
      <c r="AB181">
        <v>0</v>
      </c>
      <c r="AC181">
        <v>0</v>
      </c>
      <c r="AD181">
        <v>0</v>
      </c>
      <c r="AE181">
        <v>5191</v>
      </c>
      <c r="AF181">
        <v>0</v>
      </c>
      <c r="AG181">
        <v>0</v>
      </c>
      <c r="AH181">
        <v>0</v>
      </c>
      <c r="AI181">
        <v>14</v>
      </c>
      <c r="AJ181">
        <v>1</v>
      </c>
      <c r="AK181">
        <v>1</v>
      </c>
      <c r="AL181">
        <v>1</v>
      </c>
      <c r="AM181">
        <v>2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</v>
      </c>
      <c r="AT181">
        <v>1.9400000000000001E-3</v>
      </c>
      <c r="AU181" t="s">
        <v>3</v>
      </c>
      <c r="AV181">
        <v>0</v>
      </c>
      <c r="AW181">
        <v>2</v>
      </c>
      <c r="AX181">
        <v>94799859</v>
      </c>
      <c r="AY181">
        <v>1</v>
      </c>
      <c r="AZ181">
        <v>0</v>
      </c>
      <c r="BA181">
        <v>181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V181">
        <v>0</v>
      </c>
      <c r="CW181">
        <v>0</v>
      </c>
      <c r="CX181">
        <f>ROUND(Y181*Source!I261,9)</f>
        <v>9.8939999999999998E-5</v>
      </c>
      <c r="CY181">
        <f t="shared" si="75"/>
        <v>72674</v>
      </c>
      <c r="CZ181">
        <f t="shared" si="76"/>
        <v>5191</v>
      </c>
      <c r="DA181">
        <f t="shared" si="77"/>
        <v>14</v>
      </c>
      <c r="DB181">
        <f t="shared" si="66"/>
        <v>10.07</v>
      </c>
      <c r="DC181">
        <f t="shared" si="67"/>
        <v>0</v>
      </c>
      <c r="DD181" t="s">
        <v>3</v>
      </c>
      <c r="DE181" t="s">
        <v>3</v>
      </c>
      <c r="DF181">
        <f t="shared" si="78"/>
        <v>7.19</v>
      </c>
      <c r="DG181">
        <f t="shared" si="79"/>
        <v>0</v>
      </c>
      <c r="DH181">
        <f t="shared" si="80"/>
        <v>0</v>
      </c>
      <c r="DI181">
        <f t="shared" si="63"/>
        <v>0</v>
      </c>
      <c r="DJ181">
        <f t="shared" si="81"/>
        <v>7.19</v>
      </c>
      <c r="DK181">
        <v>0</v>
      </c>
      <c r="DL181" t="s">
        <v>3</v>
      </c>
      <c r="DM181">
        <v>0</v>
      </c>
      <c r="DN181" t="s">
        <v>3</v>
      </c>
      <c r="DO181">
        <v>0</v>
      </c>
    </row>
    <row r="182" spans="1:119" x14ac:dyDescent="0.2">
      <c r="A182">
        <f>ROW(Source!A261)</f>
        <v>261</v>
      </c>
      <c r="B182">
        <v>94798619</v>
      </c>
      <c r="C182">
        <v>94799847</v>
      </c>
      <c r="D182">
        <v>37736609</v>
      </c>
      <c r="E182">
        <v>1</v>
      </c>
      <c r="F182">
        <v>1</v>
      </c>
      <c r="G182">
        <v>1</v>
      </c>
      <c r="H182">
        <v>3</v>
      </c>
      <c r="I182" t="s">
        <v>912</v>
      </c>
      <c r="J182" t="s">
        <v>913</v>
      </c>
      <c r="K182" t="s">
        <v>914</v>
      </c>
      <c r="L182">
        <v>1348</v>
      </c>
      <c r="N182">
        <v>1009</v>
      </c>
      <c r="O182" t="s">
        <v>170</v>
      </c>
      <c r="P182" t="s">
        <v>170</v>
      </c>
      <c r="Q182">
        <v>1000</v>
      </c>
      <c r="W182">
        <v>0</v>
      </c>
      <c r="X182">
        <v>1483167196</v>
      </c>
      <c r="Y182">
        <f t="shared" si="65"/>
        <v>4.4000000000000002E-4</v>
      </c>
      <c r="AA182">
        <v>119730</v>
      </c>
      <c r="AB182">
        <v>0</v>
      </c>
      <c r="AC182">
        <v>0</v>
      </c>
      <c r="AD182">
        <v>0</v>
      </c>
      <c r="AE182">
        <v>9750</v>
      </c>
      <c r="AF182">
        <v>0</v>
      </c>
      <c r="AG182">
        <v>0</v>
      </c>
      <c r="AH182">
        <v>0</v>
      </c>
      <c r="AI182">
        <v>12.28</v>
      </c>
      <c r="AJ182">
        <v>1</v>
      </c>
      <c r="AK182">
        <v>1</v>
      </c>
      <c r="AL182">
        <v>1</v>
      </c>
      <c r="AM182">
        <v>2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</v>
      </c>
      <c r="AT182">
        <v>4.4000000000000002E-4</v>
      </c>
      <c r="AU182" t="s">
        <v>3</v>
      </c>
      <c r="AV182">
        <v>0</v>
      </c>
      <c r="AW182">
        <v>2</v>
      </c>
      <c r="AX182">
        <v>94799860</v>
      </c>
      <c r="AY182">
        <v>1</v>
      </c>
      <c r="AZ182">
        <v>0</v>
      </c>
      <c r="BA182">
        <v>182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V182">
        <v>0</v>
      </c>
      <c r="CW182">
        <v>0</v>
      </c>
      <c r="CX182">
        <f>ROUND(Y182*Source!I261,9)</f>
        <v>2.2439999999999999E-5</v>
      </c>
      <c r="CY182">
        <f t="shared" si="75"/>
        <v>119730</v>
      </c>
      <c r="CZ182">
        <f t="shared" si="76"/>
        <v>9750</v>
      </c>
      <c r="DA182">
        <f t="shared" si="77"/>
        <v>12.28</v>
      </c>
      <c r="DB182">
        <f t="shared" si="66"/>
        <v>4.29</v>
      </c>
      <c r="DC182">
        <f t="shared" si="67"/>
        <v>0</v>
      </c>
      <c r="DD182" t="s">
        <v>3</v>
      </c>
      <c r="DE182" t="s">
        <v>3</v>
      </c>
      <c r="DF182">
        <f t="shared" si="78"/>
        <v>2.69</v>
      </c>
      <c r="DG182">
        <f t="shared" si="79"/>
        <v>0</v>
      </c>
      <c r="DH182">
        <f t="shared" si="80"/>
        <v>0</v>
      </c>
      <c r="DI182">
        <f t="shared" si="63"/>
        <v>0</v>
      </c>
      <c r="DJ182">
        <f t="shared" si="81"/>
        <v>2.69</v>
      </c>
      <c r="DK182">
        <v>0</v>
      </c>
      <c r="DL182" t="s">
        <v>3</v>
      </c>
      <c r="DM182">
        <v>0</v>
      </c>
      <c r="DN182" t="s">
        <v>3</v>
      </c>
      <c r="DO182">
        <v>0</v>
      </c>
    </row>
    <row r="183" spans="1:119" x14ac:dyDescent="0.2">
      <c r="A183">
        <f>ROW(Source!A261)</f>
        <v>261</v>
      </c>
      <c r="B183">
        <v>94798619</v>
      </c>
      <c r="C183">
        <v>94799847</v>
      </c>
      <c r="D183">
        <v>37736859</v>
      </c>
      <c r="E183">
        <v>1</v>
      </c>
      <c r="F183">
        <v>1</v>
      </c>
      <c r="G183">
        <v>1</v>
      </c>
      <c r="H183">
        <v>3</v>
      </c>
      <c r="I183" t="s">
        <v>252</v>
      </c>
      <c r="J183" t="s">
        <v>254</v>
      </c>
      <c r="K183" t="s">
        <v>253</v>
      </c>
      <c r="L183">
        <v>1348</v>
      </c>
      <c r="N183">
        <v>1009</v>
      </c>
      <c r="O183" t="s">
        <v>170</v>
      </c>
      <c r="P183" t="s">
        <v>170</v>
      </c>
      <c r="Q183">
        <v>1000</v>
      </c>
      <c r="W183">
        <v>0</v>
      </c>
      <c r="X183">
        <v>-384985709</v>
      </c>
      <c r="Y183">
        <f t="shared" si="65"/>
        <v>2.1000000000000001E-2</v>
      </c>
      <c r="AA183">
        <v>208824.23</v>
      </c>
      <c r="AB183">
        <v>0</v>
      </c>
      <c r="AC183">
        <v>0</v>
      </c>
      <c r="AD183">
        <v>0</v>
      </c>
      <c r="AE183">
        <v>9040.01</v>
      </c>
      <c r="AF183">
        <v>0</v>
      </c>
      <c r="AG183">
        <v>0</v>
      </c>
      <c r="AH183">
        <v>0</v>
      </c>
      <c r="AI183">
        <v>23.1</v>
      </c>
      <c r="AJ183">
        <v>1</v>
      </c>
      <c r="AK183">
        <v>1</v>
      </c>
      <c r="AL183">
        <v>1</v>
      </c>
      <c r="AM183">
        <v>2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</v>
      </c>
      <c r="AT183">
        <v>2.1000000000000001E-2</v>
      </c>
      <c r="AU183" t="s">
        <v>3</v>
      </c>
      <c r="AV183">
        <v>0</v>
      </c>
      <c r="AW183">
        <v>2</v>
      </c>
      <c r="AX183">
        <v>94799861</v>
      </c>
      <c r="AY183">
        <v>1</v>
      </c>
      <c r="AZ183">
        <v>0</v>
      </c>
      <c r="BA183">
        <v>183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V183">
        <v>0</v>
      </c>
      <c r="CW183">
        <v>0</v>
      </c>
      <c r="CX183">
        <f>ROUND(Y183*Source!I261,9)</f>
        <v>1.0709999999999999E-3</v>
      </c>
      <c r="CY183">
        <f t="shared" si="75"/>
        <v>208824.23</v>
      </c>
      <c r="CZ183">
        <f t="shared" si="76"/>
        <v>9040.01</v>
      </c>
      <c r="DA183">
        <f t="shared" si="77"/>
        <v>23.1</v>
      </c>
      <c r="DB183">
        <f t="shared" si="66"/>
        <v>189.84</v>
      </c>
      <c r="DC183">
        <f t="shared" si="67"/>
        <v>0</v>
      </c>
      <c r="DD183" t="s">
        <v>3</v>
      </c>
      <c r="DE183" t="s">
        <v>3</v>
      </c>
      <c r="DF183">
        <f t="shared" si="78"/>
        <v>223.65</v>
      </c>
      <c r="DG183">
        <f t="shared" si="79"/>
        <v>0</v>
      </c>
      <c r="DH183">
        <f t="shared" si="80"/>
        <v>0</v>
      </c>
      <c r="DI183">
        <f t="shared" si="63"/>
        <v>0</v>
      </c>
      <c r="DJ183">
        <f t="shared" si="81"/>
        <v>223.65</v>
      </c>
      <c r="DK183">
        <v>0</v>
      </c>
      <c r="DL183" t="s">
        <v>3</v>
      </c>
      <c r="DM183">
        <v>0</v>
      </c>
      <c r="DN183" t="s">
        <v>3</v>
      </c>
      <c r="DO183">
        <v>0</v>
      </c>
    </row>
    <row r="184" spans="1:119" x14ac:dyDescent="0.2">
      <c r="A184">
        <f>ROW(Source!A261)</f>
        <v>261</v>
      </c>
      <c r="B184">
        <v>94798619</v>
      </c>
      <c r="C184">
        <v>94799847</v>
      </c>
      <c r="D184">
        <v>37736933</v>
      </c>
      <c r="E184">
        <v>1</v>
      </c>
      <c r="F184">
        <v>1</v>
      </c>
      <c r="G184">
        <v>1</v>
      </c>
      <c r="H184">
        <v>3</v>
      </c>
      <c r="I184" t="s">
        <v>851</v>
      </c>
      <c r="J184" t="s">
        <v>852</v>
      </c>
      <c r="K184" t="s">
        <v>853</v>
      </c>
      <c r="L184">
        <v>1348</v>
      </c>
      <c r="N184">
        <v>1009</v>
      </c>
      <c r="O184" t="s">
        <v>170</v>
      </c>
      <c r="P184" t="s">
        <v>170</v>
      </c>
      <c r="Q184">
        <v>1000</v>
      </c>
      <c r="W184">
        <v>0</v>
      </c>
      <c r="X184">
        <v>-667930777</v>
      </c>
      <c r="Y184">
        <f t="shared" si="65"/>
        <v>1.0000000000000001E-5</v>
      </c>
      <c r="AA184">
        <v>111120.24</v>
      </c>
      <c r="AB184">
        <v>0</v>
      </c>
      <c r="AC184">
        <v>0</v>
      </c>
      <c r="AD184">
        <v>0</v>
      </c>
      <c r="AE184">
        <v>12936</v>
      </c>
      <c r="AF184">
        <v>0</v>
      </c>
      <c r="AG184">
        <v>0</v>
      </c>
      <c r="AH184">
        <v>0</v>
      </c>
      <c r="AI184">
        <v>8.59</v>
      </c>
      <c r="AJ184">
        <v>1</v>
      </c>
      <c r="AK184">
        <v>1</v>
      </c>
      <c r="AL184">
        <v>1</v>
      </c>
      <c r="AM184">
        <v>2</v>
      </c>
      <c r="AN184">
        <v>0</v>
      </c>
      <c r="AO184">
        <v>1</v>
      </c>
      <c r="AP184">
        <v>1</v>
      </c>
      <c r="AQ184">
        <v>0</v>
      </c>
      <c r="AR184">
        <v>0</v>
      </c>
      <c r="AS184" t="s">
        <v>3</v>
      </c>
      <c r="AT184">
        <v>1.0000000000000001E-5</v>
      </c>
      <c r="AU184" t="s">
        <v>3</v>
      </c>
      <c r="AV184">
        <v>0</v>
      </c>
      <c r="AW184">
        <v>2</v>
      </c>
      <c r="AX184">
        <v>94799862</v>
      </c>
      <c r="AY184">
        <v>1</v>
      </c>
      <c r="AZ184">
        <v>0</v>
      </c>
      <c r="BA184">
        <v>184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V184">
        <v>0</v>
      </c>
      <c r="CW184">
        <v>0</v>
      </c>
      <c r="CX184">
        <f>ROUND(Y184*Source!I261,9)</f>
        <v>5.0999999999999999E-7</v>
      </c>
      <c r="CY184">
        <f t="shared" si="75"/>
        <v>111120.24</v>
      </c>
      <c r="CZ184">
        <f t="shared" si="76"/>
        <v>12936</v>
      </c>
      <c r="DA184">
        <f t="shared" si="77"/>
        <v>8.59</v>
      </c>
      <c r="DB184">
        <f t="shared" si="66"/>
        <v>0.13</v>
      </c>
      <c r="DC184">
        <f t="shared" si="67"/>
        <v>0</v>
      </c>
      <c r="DD184" t="s">
        <v>3</v>
      </c>
      <c r="DE184" t="s">
        <v>3</v>
      </c>
      <c r="DF184">
        <f t="shared" si="78"/>
        <v>0.06</v>
      </c>
      <c r="DG184">
        <f t="shared" si="79"/>
        <v>0</v>
      </c>
      <c r="DH184">
        <f t="shared" si="80"/>
        <v>0</v>
      </c>
      <c r="DI184">
        <f t="shared" si="63"/>
        <v>0</v>
      </c>
      <c r="DJ184">
        <f t="shared" si="81"/>
        <v>0.06</v>
      </c>
      <c r="DK184">
        <v>0</v>
      </c>
      <c r="DL184" t="s">
        <v>3</v>
      </c>
      <c r="DM184">
        <v>0</v>
      </c>
      <c r="DN184" t="s">
        <v>3</v>
      </c>
      <c r="DO184">
        <v>0</v>
      </c>
    </row>
    <row r="185" spans="1:119" x14ac:dyDescent="0.2">
      <c r="A185">
        <f>ROW(Source!A261)</f>
        <v>261</v>
      </c>
      <c r="B185">
        <v>94798619</v>
      </c>
      <c r="C185">
        <v>94799847</v>
      </c>
      <c r="D185">
        <v>37729662</v>
      </c>
      <c r="E185">
        <v>1</v>
      </c>
      <c r="F185">
        <v>1</v>
      </c>
      <c r="G185">
        <v>1</v>
      </c>
      <c r="H185">
        <v>3</v>
      </c>
      <c r="I185" t="s">
        <v>812</v>
      </c>
      <c r="J185" t="s">
        <v>813</v>
      </c>
      <c r="K185" t="s">
        <v>814</v>
      </c>
      <c r="L185">
        <v>1346</v>
      </c>
      <c r="N185">
        <v>1009</v>
      </c>
      <c r="O185" t="s">
        <v>192</v>
      </c>
      <c r="P185" t="s">
        <v>192</v>
      </c>
      <c r="Q185">
        <v>1</v>
      </c>
      <c r="W185">
        <v>0</v>
      </c>
      <c r="X185">
        <v>873943321</v>
      </c>
      <c r="Y185">
        <f t="shared" si="65"/>
        <v>0.36</v>
      </c>
      <c r="AA185">
        <v>53.09</v>
      </c>
      <c r="AB185">
        <v>0</v>
      </c>
      <c r="AC185">
        <v>0</v>
      </c>
      <c r="AD185">
        <v>0</v>
      </c>
      <c r="AE185">
        <v>6.62</v>
      </c>
      <c r="AF185">
        <v>0</v>
      </c>
      <c r="AG185">
        <v>0</v>
      </c>
      <c r="AH185">
        <v>0</v>
      </c>
      <c r="AI185">
        <v>8.02</v>
      </c>
      <c r="AJ185">
        <v>1</v>
      </c>
      <c r="AK185">
        <v>1</v>
      </c>
      <c r="AL185">
        <v>1</v>
      </c>
      <c r="AM185">
        <v>2</v>
      </c>
      <c r="AN185">
        <v>0</v>
      </c>
      <c r="AO185">
        <v>1</v>
      </c>
      <c r="AP185">
        <v>1</v>
      </c>
      <c r="AQ185">
        <v>0</v>
      </c>
      <c r="AR185">
        <v>0</v>
      </c>
      <c r="AS185" t="s">
        <v>3</v>
      </c>
      <c r="AT185">
        <v>0.36</v>
      </c>
      <c r="AU185" t="s">
        <v>3</v>
      </c>
      <c r="AV185">
        <v>0</v>
      </c>
      <c r="AW185">
        <v>2</v>
      </c>
      <c r="AX185">
        <v>94799863</v>
      </c>
      <c r="AY185">
        <v>1</v>
      </c>
      <c r="AZ185">
        <v>0</v>
      </c>
      <c r="BA185">
        <v>185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V185">
        <v>0</v>
      </c>
      <c r="CW185">
        <v>0</v>
      </c>
      <c r="CX185">
        <f>ROUND(Y185*Source!I261,9)</f>
        <v>1.8360000000000001E-2</v>
      </c>
      <c r="CY185">
        <f t="shared" si="75"/>
        <v>53.09</v>
      </c>
      <c r="CZ185">
        <f t="shared" si="76"/>
        <v>6.62</v>
      </c>
      <c r="DA185">
        <f t="shared" si="77"/>
        <v>8.02</v>
      </c>
      <c r="DB185">
        <f t="shared" si="66"/>
        <v>2.38</v>
      </c>
      <c r="DC185">
        <f t="shared" si="67"/>
        <v>0</v>
      </c>
      <c r="DD185" t="s">
        <v>3</v>
      </c>
      <c r="DE185" t="s">
        <v>3</v>
      </c>
      <c r="DF185">
        <f t="shared" si="78"/>
        <v>0.97</v>
      </c>
      <c r="DG185">
        <f t="shared" si="79"/>
        <v>0</v>
      </c>
      <c r="DH185">
        <f t="shared" si="80"/>
        <v>0</v>
      </c>
      <c r="DI185">
        <f t="shared" si="63"/>
        <v>0</v>
      </c>
      <c r="DJ185">
        <f t="shared" si="81"/>
        <v>0.97</v>
      </c>
      <c r="DK185">
        <v>0</v>
      </c>
      <c r="DL185" t="s">
        <v>3</v>
      </c>
      <c r="DM185">
        <v>0</v>
      </c>
      <c r="DN185" t="s">
        <v>3</v>
      </c>
      <c r="DO185">
        <v>0</v>
      </c>
    </row>
    <row r="186" spans="1:119" x14ac:dyDescent="0.2">
      <c r="A186">
        <f>ROW(Source!A261)</f>
        <v>261</v>
      </c>
      <c r="B186">
        <v>94798619</v>
      </c>
      <c r="C186">
        <v>94799847</v>
      </c>
      <c r="D186">
        <v>37732807</v>
      </c>
      <c r="E186">
        <v>1</v>
      </c>
      <c r="F186">
        <v>1</v>
      </c>
      <c r="G186">
        <v>1</v>
      </c>
      <c r="H186">
        <v>3</v>
      </c>
      <c r="I186" t="s">
        <v>854</v>
      </c>
      <c r="J186" t="s">
        <v>855</v>
      </c>
      <c r="K186" t="s">
        <v>856</v>
      </c>
      <c r="L186">
        <v>1348</v>
      </c>
      <c r="N186">
        <v>1009</v>
      </c>
      <c r="O186" t="s">
        <v>170</v>
      </c>
      <c r="P186" t="s">
        <v>170</v>
      </c>
      <c r="Q186">
        <v>1000</v>
      </c>
      <c r="W186">
        <v>0</v>
      </c>
      <c r="X186">
        <v>-250432139</v>
      </c>
      <c r="Y186">
        <f t="shared" si="65"/>
        <v>5.9999999999999995E-4</v>
      </c>
      <c r="AA186">
        <v>72063</v>
      </c>
      <c r="AB186">
        <v>0</v>
      </c>
      <c r="AC186">
        <v>0</v>
      </c>
      <c r="AD186">
        <v>0</v>
      </c>
      <c r="AE186">
        <v>9420</v>
      </c>
      <c r="AF186">
        <v>0</v>
      </c>
      <c r="AG186">
        <v>0</v>
      </c>
      <c r="AH186">
        <v>0</v>
      </c>
      <c r="AI186">
        <v>7.65</v>
      </c>
      <c r="AJ186">
        <v>1</v>
      </c>
      <c r="AK186">
        <v>1</v>
      </c>
      <c r="AL186">
        <v>1</v>
      </c>
      <c r="AM186">
        <v>2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3</v>
      </c>
      <c r="AT186">
        <v>5.9999999999999995E-4</v>
      </c>
      <c r="AU186" t="s">
        <v>3</v>
      </c>
      <c r="AV186">
        <v>0</v>
      </c>
      <c r="AW186">
        <v>2</v>
      </c>
      <c r="AX186">
        <v>94799864</v>
      </c>
      <c r="AY186">
        <v>1</v>
      </c>
      <c r="AZ186">
        <v>0</v>
      </c>
      <c r="BA186">
        <v>186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V186">
        <v>0</v>
      </c>
      <c r="CW186">
        <v>0</v>
      </c>
      <c r="CX186">
        <f>ROUND(Y186*Source!I261,9)</f>
        <v>3.0599999999999998E-5</v>
      </c>
      <c r="CY186">
        <f t="shared" si="75"/>
        <v>72063</v>
      </c>
      <c r="CZ186">
        <f t="shared" si="76"/>
        <v>9420</v>
      </c>
      <c r="DA186">
        <f t="shared" si="77"/>
        <v>7.65</v>
      </c>
      <c r="DB186">
        <f t="shared" si="66"/>
        <v>5.65</v>
      </c>
      <c r="DC186">
        <f t="shared" si="67"/>
        <v>0</v>
      </c>
      <c r="DD186" t="s">
        <v>3</v>
      </c>
      <c r="DE186" t="s">
        <v>3</v>
      </c>
      <c r="DF186">
        <f t="shared" si="78"/>
        <v>2.21</v>
      </c>
      <c r="DG186">
        <f t="shared" si="79"/>
        <v>0</v>
      </c>
      <c r="DH186">
        <f t="shared" si="80"/>
        <v>0</v>
      </c>
      <c r="DI186">
        <f t="shared" si="63"/>
        <v>0</v>
      </c>
      <c r="DJ186">
        <f t="shared" si="81"/>
        <v>2.21</v>
      </c>
      <c r="DK186">
        <v>0</v>
      </c>
      <c r="DL186" t="s">
        <v>3</v>
      </c>
      <c r="DM186">
        <v>0</v>
      </c>
      <c r="DN186" t="s">
        <v>3</v>
      </c>
      <c r="DO186">
        <v>0</v>
      </c>
    </row>
    <row r="187" spans="1:119" x14ac:dyDescent="0.2">
      <c r="A187">
        <f>ROW(Source!A261)</f>
        <v>261</v>
      </c>
      <c r="B187">
        <v>94798619</v>
      </c>
      <c r="C187">
        <v>94799847</v>
      </c>
      <c r="D187">
        <v>37738047</v>
      </c>
      <c r="E187">
        <v>1</v>
      </c>
      <c r="F187">
        <v>1</v>
      </c>
      <c r="G187">
        <v>1</v>
      </c>
      <c r="H187">
        <v>3</v>
      </c>
      <c r="I187" t="s">
        <v>857</v>
      </c>
      <c r="J187" t="s">
        <v>858</v>
      </c>
      <c r="K187" t="s">
        <v>859</v>
      </c>
      <c r="L187">
        <v>1339</v>
      </c>
      <c r="N187">
        <v>1007</v>
      </c>
      <c r="O187" t="s">
        <v>52</v>
      </c>
      <c r="P187" t="s">
        <v>52</v>
      </c>
      <c r="Q187">
        <v>1</v>
      </c>
      <c r="W187">
        <v>0</v>
      </c>
      <c r="X187">
        <v>579634616</v>
      </c>
      <c r="Y187">
        <f t="shared" si="65"/>
        <v>1.0300000000000001E-3</v>
      </c>
      <c r="AA187">
        <v>18572.47</v>
      </c>
      <c r="AB187">
        <v>0</v>
      </c>
      <c r="AC187">
        <v>0</v>
      </c>
      <c r="AD187">
        <v>0</v>
      </c>
      <c r="AE187">
        <v>1421</v>
      </c>
      <c r="AF187">
        <v>0</v>
      </c>
      <c r="AG187">
        <v>0</v>
      </c>
      <c r="AH187">
        <v>0</v>
      </c>
      <c r="AI187">
        <v>13.07</v>
      </c>
      <c r="AJ187">
        <v>1</v>
      </c>
      <c r="AK187">
        <v>1</v>
      </c>
      <c r="AL187">
        <v>1</v>
      </c>
      <c r="AM187">
        <v>2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3</v>
      </c>
      <c r="AT187">
        <v>1.0300000000000001E-3</v>
      </c>
      <c r="AU187" t="s">
        <v>3</v>
      </c>
      <c r="AV187">
        <v>0</v>
      </c>
      <c r="AW187">
        <v>2</v>
      </c>
      <c r="AX187">
        <v>94799865</v>
      </c>
      <c r="AY187">
        <v>1</v>
      </c>
      <c r="AZ187">
        <v>0</v>
      </c>
      <c r="BA187">
        <v>187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V187">
        <v>0</v>
      </c>
      <c r="CW187">
        <v>0</v>
      </c>
      <c r="CX187">
        <f>ROUND(Y187*Source!I261,9)</f>
        <v>5.253E-5</v>
      </c>
      <c r="CY187">
        <f t="shared" si="75"/>
        <v>18572.47</v>
      </c>
      <c r="CZ187">
        <f t="shared" si="76"/>
        <v>1421</v>
      </c>
      <c r="DA187">
        <f t="shared" si="77"/>
        <v>13.07</v>
      </c>
      <c r="DB187">
        <f t="shared" si="66"/>
        <v>1.46</v>
      </c>
      <c r="DC187">
        <f t="shared" si="67"/>
        <v>0</v>
      </c>
      <c r="DD187" t="s">
        <v>3</v>
      </c>
      <c r="DE187" t="s">
        <v>3</v>
      </c>
      <c r="DF187">
        <f t="shared" si="78"/>
        <v>0.98</v>
      </c>
      <c r="DG187">
        <f t="shared" si="79"/>
        <v>0</v>
      </c>
      <c r="DH187">
        <f t="shared" si="80"/>
        <v>0</v>
      </c>
      <c r="DI187">
        <f t="shared" si="63"/>
        <v>0</v>
      </c>
      <c r="DJ187">
        <f t="shared" si="81"/>
        <v>0.98</v>
      </c>
      <c r="DK187">
        <v>0</v>
      </c>
      <c r="DL187" t="s">
        <v>3</v>
      </c>
      <c r="DM187">
        <v>0</v>
      </c>
      <c r="DN187" t="s">
        <v>3</v>
      </c>
      <c r="DO187">
        <v>0</v>
      </c>
    </row>
    <row r="188" spans="1:119" x14ac:dyDescent="0.2">
      <c r="A188">
        <f>ROW(Source!A261)</f>
        <v>261</v>
      </c>
      <c r="B188">
        <v>94798619</v>
      </c>
      <c r="C188">
        <v>94799847</v>
      </c>
      <c r="D188">
        <v>37744698</v>
      </c>
      <c r="E188">
        <v>1</v>
      </c>
      <c r="F188">
        <v>1</v>
      </c>
      <c r="G188">
        <v>1</v>
      </c>
      <c r="H188">
        <v>3</v>
      </c>
      <c r="I188" t="s">
        <v>178</v>
      </c>
      <c r="J188" t="s">
        <v>180</v>
      </c>
      <c r="K188" t="s">
        <v>179</v>
      </c>
      <c r="L188">
        <v>1348</v>
      </c>
      <c r="N188">
        <v>1009</v>
      </c>
      <c r="O188" t="s">
        <v>170</v>
      </c>
      <c r="P188" t="s">
        <v>170</v>
      </c>
      <c r="Q188">
        <v>1000</v>
      </c>
      <c r="W188">
        <v>0</v>
      </c>
      <c r="X188">
        <v>-763406924</v>
      </c>
      <c r="Y188">
        <f t="shared" si="65"/>
        <v>3.1E-4</v>
      </c>
      <c r="AA188">
        <v>80130.600000000006</v>
      </c>
      <c r="AB188">
        <v>0</v>
      </c>
      <c r="AC188">
        <v>0</v>
      </c>
      <c r="AD188">
        <v>0</v>
      </c>
      <c r="AE188">
        <v>15620</v>
      </c>
      <c r="AF188">
        <v>0</v>
      </c>
      <c r="AG188">
        <v>0</v>
      </c>
      <c r="AH188">
        <v>0</v>
      </c>
      <c r="AI188">
        <v>5.13</v>
      </c>
      <c r="AJ188">
        <v>1</v>
      </c>
      <c r="AK188">
        <v>1</v>
      </c>
      <c r="AL188">
        <v>1</v>
      </c>
      <c r="AM188">
        <v>2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3</v>
      </c>
      <c r="AT188">
        <v>3.1E-4</v>
      </c>
      <c r="AU188" t="s">
        <v>3</v>
      </c>
      <c r="AV188">
        <v>0</v>
      </c>
      <c r="AW188">
        <v>2</v>
      </c>
      <c r="AX188">
        <v>94799866</v>
      </c>
      <c r="AY188">
        <v>1</v>
      </c>
      <c r="AZ188">
        <v>0</v>
      </c>
      <c r="BA188">
        <v>188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V188">
        <v>0</v>
      </c>
      <c r="CW188">
        <v>0</v>
      </c>
      <c r="CX188">
        <f>ROUND(Y188*Source!I261,9)</f>
        <v>1.5809999999999999E-5</v>
      </c>
      <c r="CY188">
        <f t="shared" si="75"/>
        <v>80130.600000000006</v>
      </c>
      <c r="CZ188">
        <f t="shared" si="76"/>
        <v>15620</v>
      </c>
      <c r="DA188">
        <f t="shared" si="77"/>
        <v>5.13</v>
      </c>
      <c r="DB188">
        <f t="shared" si="66"/>
        <v>4.84</v>
      </c>
      <c r="DC188">
        <f t="shared" si="67"/>
        <v>0</v>
      </c>
      <c r="DD188" t="s">
        <v>3</v>
      </c>
      <c r="DE188" t="s">
        <v>3</v>
      </c>
      <c r="DF188">
        <f t="shared" si="78"/>
        <v>1.27</v>
      </c>
      <c r="DG188">
        <f t="shared" si="79"/>
        <v>0</v>
      </c>
      <c r="DH188">
        <f t="shared" si="80"/>
        <v>0</v>
      </c>
      <c r="DI188">
        <f t="shared" si="63"/>
        <v>0</v>
      </c>
      <c r="DJ188">
        <f t="shared" si="81"/>
        <v>1.27</v>
      </c>
      <c r="DK188">
        <v>0</v>
      </c>
      <c r="DL188" t="s">
        <v>3</v>
      </c>
      <c r="DM188">
        <v>0</v>
      </c>
      <c r="DN188" t="s">
        <v>3</v>
      </c>
      <c r="DO188">
        <v>0</v>
      </c>
    </row>
    <row r="189" spans="1:119" x14ac:dyDescent="0.2">
      <c r="A189">
        <f>ROW(Source!A261)</f>
        <v>261</v>
      </c>
      <c r="B189">
        <v>94798619</v>
      </c>
      <c r="C189">
        <v>94799847</v>
      </c>
      <c r="D189">
        <v>37751308</v>
      </c>
      <c r="E189">
        <v>1</v>
      </c>
      <c r="F189">
        <v>1</v>
      </c>
      <c r="G189">
        <v>1</v>
      </c>
      <c r="H189">
        <v>3</v>
      </c>
      <c r="I189" t="s">
        <v>860</v>
      </c>
      <c r="J189" t="s">
        <v>861</v>
      </c>
      <c r="K189" t="s">
        <v>862</v>
      </c>
      <c r="L189">
        <v>1348</v>
      </c>
      <c r="N189">
        <v>1009</v>
      </c>
      <c r="O189" t="s">
        <v>170</v>
      </c>
      <c r="P189" t="s">
        <v>170</v>
      </c>
      <c r="Q189">
        <v>1000</v>
      </c>
      <c r="W189">
        <v>0</v>
      </c>
      <c r="X189">
        <v>1152755346</v>
      </c>
      <c r="Y189">
        <f t="shared" si="65"/>
        <v>2.0000000000000001E-4</v>
      </c>
      <c r="AA189">
        <v>119227.52</v>
      </c>
      <c r="AB189">
        <v>0</v>
      </c>
      <c r="AC189">
        <v>0</v>
      </c>
      <c r="AD189">
        <v>0</v>
      </c>
      <c r="AE189">
        <v>7712</v>
      </c>
      <c r="AF189">
        <v>0</v>
      </c>
      <c r="AG189">
        <v>0</v>
      </c>
      <c r="AH189">
        <v>0</v>
      </c>
      <c r="AI189">
        <v>15.46</v>
      </c>
      <c r="AJ189">
        <v>1</v>
      </c>
      <c r="AK189">
        <v>1</v>
      </c>
      <c r="AL189">
        <v>1</v>
      </c>
      <c r="AM189">
        <v>2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3</v>
      </c>
      <c r="AT189">
        <v>2.0000000000000001E-4</v>
      </c>
      <c r="AU189" t="s">
        <v>3</v>
      </c>
      <c r="AV189">
        <v>0</v>
      </c>
      <c r="AW189">
        <v>2</v>
      </c>
      <c r="AX189">
        <v>94799867</v>
      </c>
      <c r="AY189">
        <v>1</v>
      </c>
      <c r="AZ189">
        <v>0</v>
      </c>
      <c r="BA189">
        <v>189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V189">
        <v>0</v>
      </c>
      <c r="CW189">
        <v>0</v>
      </c>
      <c r="CX189">
        <f>ROUND(Y189*Source!I261,9)</f>
        <v>1.0200000000000001E-5</v>
      </c>
      <c r="CY189">
        <f t="shared" si="75"/>
        <v>119227.52</v>
      </c>
      <c r="CZ189">
        <f t="shared" si="76"/>
        <v>7712</v>
      </c>
      <c r="DA189">
        <f t="shared" si="77"/>
        <v>15.46</v>
      </c>
      <c r="DB189">
        <f t="shared" si="66"/>
        <v>1.54</v>
      </c>
      <c r="DC189">
        <f t="shared" si="67"/>
        <v>0</v>
      </c>
      <c r="DD189" t="s">
        <v>3</v>
      </c>
      <c r="DE189" t="s">
        <v>3</v>
      </c>
      <c r="DF189">
        <f t="shared" si="78"/>
        <v>1.22</v>
      </c>
      <c r="DG189">
        <f t="shared" si="79"/>
        <v>0</v>
      </c>
      <c r="DH189">
        <f t="shared" si="80"/>
        <v>0</v>
      </c>
      <c r="DI189">
        <f t="shared" si="63"/>
        <v>0</v>
      </c>
      <c r="DJ189">
        <f t="shared" si="81"/>
        <v>1.22</v>
      </c>
      <c r="DK189">
        <v>0</v>
      </c>
      <c r="DL189" t="s">
        <v>3</v>
      </c>
      <c r="DM189">
        <v>0</v>
      </c>
      <c r="DN189" t="s">
        <v>3</v>
      </c>
      <c r="DO189">
        <v>0</v>
      </c>
    </row>
    <row r="190" spans="1:119" x14ac:dyDescent="0.2">
      <c r="A190">
        <f>ROW(Source!A261)</f>
        <v>261</v>
      </c>
      <c r="B190">
        <v>94798619</v>
      </c>
      <c r="C190">
        <v>94799847</v>
      </c>
      <c r="D190">
        <v>37750153</v>
      </c>
      <c r="E190">
        <v>1</v>
      </c>
      <c r="F190">
        <v>1</v>
      </c>
      <c r="G190">
        <v>1</v>
      </c>
      <c r="H190">
        <v>3</v>
      </c>
      <c r="I190" t="s">
        <v>256</v>
      </c>
      <c r="J190" t="s">
        <v>258</v>
      </c>
      <c r="K190" t="s">
        <v>257</v>
      </c>
      <c r="L190">
        <v>1348</v>
      </c>
      <c r="N190">
        <v>1009</v>
      </c>
      <c r="O190" t="s">
        <v>170</v>
      </c>
      <c r="P190" t="s">
        <v>170</v>
      </c>
      <c r="Q190">
        <v>1000</v>
      </c>
      <c r="W190">
        <v>0</v>
      </c>
      <c r="X190">
        <v>-494558740</v>
      </c>
      <c r="Y190">
        <f t="shared" si="65"/>
        <v>1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M190">
        <v>0</v>
      </c>
      <c r="AN190">
        <v>0</v>
      </c>
      <c r="AO190">
        <v>0</v>
      </c>
      <c r="AP190">
        <v>1</v>
      </c>
      <c r="AQ190">
        <v>0</v>
      </c>
      <c r="AR190">
        <v>0</v>
      </c>
      <c r="AS190" t="s">
        <v>3</v>
      </c>
      <c r="AT190">
        <v>1</v>
      </c>
      <c r="AU190" t="s">
        <v>3</v>
      </c>
      <c r="AV190">
        <v>0</v>
      </c>
      <c r="AW190">
        <v>2</v>
      </c>
      <c r="AX190">
        <v>94799868</v>
      </c>
      <c r="AY190">
        <v>1</v>
      </c>
      <c r="AZ190">
        <v>0</v>
      </c>
      <c r="BA190">
        <v>190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V190">
        <v>0</v>
      </c>
      <c r="CW190">
        <v>0</v>
      </c>
      <c r="CX190">
        <f>ROUND(Y190*Source!I261,9)</f>
        <v>5.0999999999999997E-2</v>
      </c>
      <c r="CY190">
        <f t="shared" si="75"/>
        <v>0</v>
      </c>
      <c r="CZ190">
        <f t="shared" si="76"/>
        <v>0</v>
      </c>
      <c r="DA190">
        <f t="shared" si="77"/>
        <v>1</v>
      </c>
      <c r="DB190">
        <f t="shared" si="66"/>
        <v>0</v>
      </c>
      <c r="DC190">
        <f t="shared" si="67"/>
        <v>0</v>
      </c>
      <c r="DD190" t="s">
        <v>3</v>
      </c>
      <c r="DE190" t="s">
        <v>3</v>
      </c>
      <c r="DF190">
        <f>ROUND(ROUND(AE190,2)*CX190,2)</f>
        <v>0</v>
      </c>
      <c r="DG190">
        <f t="shared" si="79"/>
        <v>0</v>
      </c>
      <c r="DH190">
        <f t="shared" si="80"/>
        <v>0</v>
      </c>
      <c r="DI190">
        <f t="shared" si="63"/>
        <v>0</v>
      </c>
      <c r="DJ190">
        <f t="shared" si="81"/>
        <v>0</v>
      </c>
      <c r="DK190">
        <v>0</v>
      </c>
      <c r="DL190" t="s">
        <v>3</v>
      </c>
      <c r="DM190">
        <v>0</v>
      </c>
      <c r="DN190" t="s">
        <v>3</v>
      </c>
      <c r="DO190">
        <v>0</v>
      </c>
    </row>
    <row r="191" spans="1:119" x14ac:dyDescent="0.2">
      <c r="A191">
        <f>ROW(Source!A261)</f>
        <v>261</v>
      </c>
      <c r="B191">
        <v>94798619</v>
      </c>
      <c r="C191">
        <v>94799847</v>
      </c>
      <c r="D191">
        <v>37790931</v>
      </c>
      <c r="E191">
        <v>1</v>
      </c>
      <c r="F191">
        <v>1</v>
      </c>
      <c r="G191">
        <v>1</v>
      </c>
      <c r="H191">
        <v>3</v>
      </c>
      <c r="I191" t="s">
        <v>863</v>
      </c>
      <c r="J191" t="s">
        <v>864</v>
      </c>
      <c r="K191" t="s">
        <v>865</v>
      </c>
      <c r="L191">
        <v>1302</v>
      </c>
      <c r="N191">
        <v>1003</v>
      </c>
      <c r="O191" t="s">
        <v>866</v>
      </c>
      <c r="P191" t="s">
        <v>866</v>
      </c>
      <c r="Q191">
        <v>10</v>
      </c>
      <c r="W191">
        <v>0</v>
      </c>
      <c r="X191">
        <v>-802941189</v>
      </c>
      <c r="Y191">
        <f t="shared" si="65"/>
        <v>1.8700000000000001E-2</v>
      </c>
      <c r="AA191">
        <v>251.68</v>
      </c>
      <c r="AB191">
        <v>0</v>
      </c>
      <c r="AC191">
        <v>0</v>
      </c>
      <c r="AD191">
        <v>0</v>
      </c>
      <c r="AE191">
        <v>71.5</v>
      </c>
      <c r="AF191">
        <v>0</v>
      </c>
      <c r="AG191">
        <v>0</v>
      </c>
      <c r="AH191">
        <v>0</v>
      </c>
      <c r="AI191">
        <v>3.52</v>
      </c>
      <c r="AJ191">
        <v>1</v>
      </c>
      <c r="AK191">
        <v>1</v>
      </c>
      <c r="AL191">
        <v>1</v>
      </c>
      <c r="AM191">
        <v>2</v>
      </c>
      <c r="AN191">
        <v>0</v>
      </c>
      <c r="AO191">
        <v>1</v>
      </c>
      <c r="AP191">
        <v>1</v>
      </c>
      <c r="AQ191">
        <v>0</v>
      </c>
      <c r="AR191">
        <v>0</v>
      </c>
      <c r="AS191" t="s">
        <v>3</v>
      </c>
      <c r="AT191">
        <v>1.8700000000000001E-2</v>
      </c>
      <c r="AU191" t="s">
        <v>3</v>
      </c>
      <c r="AV191">
        <v>0</v>
      </c>
      <c r="AW191">
        <v>2</v>
      </c>
      <c r="AX191">
        <v>94799869</v>
      </c>
      <c r="AY191">
        <v>1</v>
      </c>
      <c r="AZ191">
        <v>0</v>
      </c>
      <c r="BA191">
        <v>191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V191">
        <v>0</v>
      </c>
      <c r="CW191">
        <v>0</v>
      </c>
      <c r="CX191">
        <f>ROUND(Y191*Source!I261,9)</f>
        <v>9.5370000000000003E-4</v>
      </c>
      <c r="CY191">
        <f t="shared" si="75"/>
        <v>251.68</v>
      </c>
      <c r="CZ191">
        <f t="shared" si="76"/>
        <v>71.5</v>
      </c>
      <c r="DA191">
        <f t="shared" si="77"/>
        <v>3.52</v>
      </c>
      <c r="DB191">
        <f t="shared" si="66"/>
        <v>1.34</v>
      </c>
      <c r="DC191">
        <f t="shared" si="67"/>
        <v>0</v>
      </c>
      <c r="DD191" t="s">
        <v>3</v>
      </c>
      <c r="DE191" t="s">
        <v>3</v>
      </c>
      <c r="DF191">
        <f>ROUND(ROUND(AE191*AI191,2)*CX191,2)</f>
        <v>0.24</v>
      </c>
      <c r="DG191">
        <f t="shared" si="79"/>
        <v>0</v>
      </c>
      <c r="DH191">
        <f t="shared" si="80"/>
        <v>0</v>
      </c>
      <c r="DI191">
        <f t="shared" si="63"/>
        <v>0</v>
      </c>
      <c r="DJ191">
        <f t="shared" si="81"/>
        <v>0.24</v>
      </c>
      <c r="DK191">
        <v>0</v>
      </c>
      <c r="DL191" t="s">
        <v>3</v>
      </c>
      <c r="DM191">
        <v>0</v>
      </c>
      <c r="DN191" t="s">
        <v>3</v>
      </c>
      <c r="DO191">
        <v>0</v>
      </c>
    </row>
    <row r="192" spans="1:119" x14ac:dyDescent="0.2">
      <c r="A192">
        <f>ROW(Source!A264)</f>
        <v>264</v>
      </c>
      <c r="B192">
        <v>94798619</v>
      </c>
      <c r="C192">
        <v>94799872</v>
      </c>
      <c r="D192">
        <v>23129487</v>
      </c>
      <c r="E192">
        <v>1</v>
      </c>
      <c r="F192">
        <v>1</v>
      </c>
      <c r="G192">
        <v>1</v>
      </c>
      <c r="H192">
        <v>1</v>
      </c>
      <c r="I192" t="s">
        <v>915</v>
      </c>
      <c r="J192" t="s">
        <v>3</v>
      </c>
      <c r="K192" t="s">
        <v>916</v>
      </c>
      <c r="L192">
        <v>1369</v>
      </c>
      <c r="N192">
        <v>1013</v>
      </c>
      <c r="O192" t="s">
        <v>696</v>
      </c>
      <c r="P192" t="s">
        <v>696</v>
      </c>
      <c r="Q192">
        <v>1</v>
      </c>
      <c r="W192">
        <v>0</v>
      </c>
      <c r="X192">
        <v>2002501603</v>
      </c>
      <c r="Y192">
        <f t="shared" si="65"/>
        <v>105.28</v>
      </c>
      <c r="AA192">
        <v>0</v>
      </c>
      <c r="AB192">
        <v>0</v>
      </c>
      <c r="AC192">
        <v>0</v>
      </c>
      <c r="AD192">
        <v>8.48</v>
      </c>
      <c r="AE192">
        <v>0</v>
      </c>
      <c r="AF192">
        <v>0</v>
      </c>
      <c r="AG192">
        <v>0</v>
      </c>
      <c r="AH192">
        <v>8.48</v>
      </c>
      <c r="AI192">
        <v>1</v>
      </c>
      <c r="AJ192">
        <v>1</v>
      </c>
      <c r="AK192">
        <v>1</v>
      </c>
      <c r="AL192">
        <v>1</v>
      </c>
      <c r="AM192">
        <v>-2</v>
      </c>
      <c r="AN192">
        <v>0</v>
      </c>
      <c r="AO192">
        <v>1</v>
      </c>
      <c r="AP192">
        <v>1</v>
      </c>
      <c r="AQ192">
        <v>0</v>
      </c>
      <c r="AR192">
        <v>0</v>
      </c>
      <c r="AS192" t="s">
        <v>3</v>
      </c>
      <c r="AT192">
        <v>105.28</v>
      </c>
      <c r="AU192" t="s">
        <v>3</v>
      </c>
      <c r="AV192">
        <v>1</v>
      </c>
      <c r="AW192">
        <v>2</v>
      </c>
      <c r="AX192">
        <v>94799873</v>
      </c>
      <c r="AY192">
        <v>1</v>
      </c>
      <c r="AZ192">
        <v>0</v>
      </c>
      <c r="BA192">
        <v>192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U192">
        <f>ROUND(AT192*Source!I264*AH192*AL192,2)</f>
        <v>120.52</v>
      </c>
      <c r="CV192">
        <f>ROUND(Y192*Source!I264,9)</f>
        <v>14.2128</v>
      </c>
      <c r="CW192">
        <v>0</v>
      </c>
      <c r="CX192">
        <f>ROUND(Y192*Source!I264,9)</f>
        <v>14.2128</v>
      </c>
      <c r="CY192">
        <f>AD192</f>
        <v>8.48</v>
      </c>
      <c r="CZ192">
        <f>AH192</f>
        <v>8.48</v>
      </c>
      <c r="DA192">
        <f>AL192</f>
        <v>1</v>
      </c>
      <c r="DB192">
        <f t="shared" si="66"/>
        <v>892.77</v>
      </c>
      <c r="DC192">
        <f t="shared" si="67"/>
        <v>0</v>
      </c>
      <c r="DD192" t="s">
        <v>3</v>
      </c>
      <c r="DE192" t="s">
        <v>3</v>
      </c>
      <c r="DF192">
        <f t="shared" ref="DF192:DF204" si="82">ROUND(ROUND(AE192,2)*CX192,2)</f>
        <v>0</v>
      </c>
      <c r="DG192">
        <f t="shared" si="79"/>
        <v>0</v>
      </c>
      <c r="DH192">
        <f t="shared" si="80"/>
        <v>0</v>
      </c>
      <c r="DI192">
        <f t="shared" si="63"/>
        <v>120.52</v>
      </c>
      <c r="DJ192">
        <f>DI192</f>
        <v>120.52</v>
      </c>
      <c r="DK192">
        <v>0</v>
      </c>
      <c r="DL192" t="s">
        <v>3</v>
      </c>
      <c r="DM192">
        <v>0</v>
      </c>
      <c r="DN192" t="s">
        <v>3</v>
      </c>
      <c r="DO192">
        <v>0</v>
      </c>
    </row>
    <row r="193" spans="1:119" x14ac:dyDescent="0.2">
      <c r="A193">
        <f>ROW(Source!A264)</f>
        <v>264</v>
      </c>
      <c r="B193">
        <v>94798619</v>
      </c>
      <c r="C193">
        <v>94799872</v>
      </c>
      <c r="D193">
        <v>121548</v>
      </c>
      <c r="E193">
        <v>1</v>
      </c>
      <c r="F193">
        <v>1</v>
      </c>
      <c r="G193">
        <v>1</v>
      </c>
      <c r="H193">
        <v>1</v>
      </c>
      <c r="I193" t="s">
        <v>28</v>
      </c>
      <c r="J193" t="s">
        <v>3</v>
      </c>
      <c r="K193" t="s">
        <v>705</v>
      </c>
      <c r="L193">
        <v>608254</v>
      </c>
      <c r="N193">
        <v>1013</v>
      </c>
      <c r="O193" t="s">
        <v>706</v>
      </c>
      <c r="P193" t="s">
        <v>706</v>
      </c>
      <c r="Q193">
        <v>1</v>
      </c>
      <c r="W193">
        <v>0</v>
      </c>
      <c r="X193">
        <v>-185737400</v>
      </c>
      <c r="Y193">
        <f t="shared" si="65"/>
        <v>16.399999999999999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M193">
        <v>-2</v>
      </c>
      <c r="AN193">
        <v>0</v>
      </c>
      <c r="AO193">
        <v>1</v>
      </c>
      <c r="AP193">
        <v>1</v>
      </c>
      <c r="AQ193">
        <v>0</v>
      </c>
      <c r="AR193">
        <v>0</v>
      </c>
      <c r="AS193" t="s">
        <v>3</v>
      </c>
      <c r="AT193">
        <v>16.399999999999999</v>
      </c>
      <c r="AU193" t="s">
        <v>3</v>
      </c>
      <c r="AV193">
        <v>2</v>
      </c>
      <c r="AW193">
        <v>2</v>
      </c>
      <c r="AX193">
        <v>94799874</v>
      </c>
      <c r="AY193">
        <v>1</v>
      </c>
      <c r="AZ193">
        <v>0</v>
      </c>
      <c r="BA193">
        <v>193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V193">
        <v>0</v>
      </c>
      <c r="CW193">
        <v>0</v>
      </c>
      <c r="CX193">
        <f>ROUND(Y193*Source!I264,9)</f>
        <v>2.214</v>
      </c>
      <c r="CY193">
        <f>AD193</f>
        <v>0</v>
      </c>
      <c r="CZ193">
        <f>AH193</f>
        <v>0</v>
      </c>
      <c r="DA193">
        <f>AL193</f>
        <v>1</v>
      </c>
      <c r="DB193">
        <f t="shared" si="66"/>
        <v>0</v>
      </c>
      <c r="DC193">
        <f t="shared" si="67"/>
        <v>0</v>
      </c>
      <c r="DD193" t="s">
        <v>3</v>
      </c>
      <c r="DE193" t="s">
        <v>3</v>
      </c>
      <c r="DF193">
        <f t="shared" si="82"/>
        <v>0</v>
      </c>
      <c r="DG193">
        <f t="shared" si="79"/>
        <v>0</v>
      </c>
      <c r="DH193">
        <f t="shared" si="80"/>
        <v>0</v>
      </c>
      <c r="DI193">
        <f t="shared" ref="DI193:DI256" si="83">ROUND(ROUND(AH193,2)*CX193,2)</f>
        <v>0</v>
      </c>
      <c r="DJ193">
        <f>DI193</f>
        <v>0</v>
      </c>
      <c r="DK193">
        <v>0</v>
      </c>
      <c r="DL193" t="s">
        <v>3</v>
      </c>
      <c r="DM193">
        <v>0</v>
      </c>
      <c r="DN193" t="s">
        <v>3</v>
      </c>
      <c r="DO193">
        <v>0</v>
      </c>
    </row>
    <row r="194" spans="1:119" x14ac:dyDescent="0.2">
      <c r="A194">
        <f>ROW(Source!A264)</f>
        <v>264</v>
      </c>
      <c r="B194">
        <v>94798619</v>
      </c>
      <c r="C194">
        <v>94799872</v>
      </c>
      <c r="D194">
        <v>37802375</v>
      </c>
      <c r="E194">
        <v>1</v>
      </c>
      <c r="F194">
        <v>1</v>
      </c>
      <c r="G194">
        <v>1</v>
      </c>
      <c r="H194">
        <v>2</v>
      </c>
      <c r="I194" t="s">
        <v>821</v>
      </c>
      <c r="J194" t="s">
        <v>822</v>
      </c>
      <c r="K194" t="s">
        <v>823</v>
      </c>
      <c r="L194">
        <v>1368</v>
      </c>
      <c r="N194">
        <v>1011</v>
      </c>
      <c r="O194" t="s">
        <v>700</v>
      </c>
      <c r="P194" t="s">
        <v>700</v>
      </c>
      <c r="Q194">
        <v>1</v>
      </c>
      <c r="W194">
        <v>0</v>
      </c>
      <c r="X194">
        <v>1827899330</v>
      </c>
      <c r="Y194">
        <f t="shared" si="65"/>
        <v>0.89</v>
      </c>
      <c r="AA194">
        <v>0</v>
      </c>
      <c r="AB194">
        <v>1791.92</v>
      </c>
      <c r="AC194">
        <v>486.02</v>
      </c>
      <c r="AD194">
        <v>0</v>
      </c>
      <c r="AE194">
        <v>0</v>
      </c>
      <c r="AF194">
        <v>159.85</v>
      </c>
      <c r="AG194">
        <v>13.78</v>
      </c>
      <c r="AH194">
        <v>0</v>
      </c>
      <c r="AI194">
        <v>1</v>
      </c>
      <c r="AJ194">
        <v>11.21</v>
      </c>
      <c r="AK194">
        <v>35.270000000000003</v>
      </c>
      <c r="AL194">
        <v>1</v>
      </c>
      <c r="AM194">
        <v>2</v>
      </c>
      <c r="AN194">
        <v>0</v>
      </c>
      <c r="AO194">
        <v>1</v>
      </c>
      <c r="AP194">
        <v>1</v>
      </c>
      <c r="AQ194">
        <v>0</v>
      </c>
      <c r="AR194">
        <v>0</v>
      </c>
      <c r="AS194" t="s">
        <v>3</v>
      </c>
      <c r="AT194">
        <v>0.89</v>
      </c>
      <c r="AU194" t="s">
        <v>3</v>
      </c>
      <c r="AV194">
        <v>0</v>
      </c>
      <c r="AW194">
        <v>2</v>
      </c>
      <c r="AX194">
        <v>94799875</v>
      </c>
      <c r="AY194">
        <v>1</v>
      </c>
      <c r="AZ194">
        <v>0</v>
      </c>
      <c r="BA194">
        <v>194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V194">
        <v>0</v>
      </c>
      <c r="CW194">
        <f>ROUND(Y194*Source!I264*DO194,9)</f>
        <v>0</v>
      </c>
      <c r="CX194">
        <f>ROUND(Y194*Source!I264,9)</f>
        <v>0.12015000000000001</v>
      </c>
      <c r="CY194">
        <f t="shared" ref="CY194:CY204" si="84">AB194</f>
        <v>1791.92</v>
      </c>
      <c r="CZ194">
        <f t="shared" ref="CZ194:CZ204" si="85">AF194</f>
        <v>159.85</v>
      </c>
      <c r="DA194">
        <f t="shared" ref="DA194:DA204" si="86">AJ194</f>
        <v>11.21</v>
      </c>
      <c r="DB194">
        <f t="shared" si="66"/>
        <v>142.27000000000001</v>
      </c>
      <c r="DC194">
        <f t="shared" si="67"/>
        <v>12.26</v>
      </c>
      <c r="DD194" t="s">
        <v>3</v>
      </c>
      <c r="DE194" t="s">
        <v>3</v>
      </c>
      <c r="DF194">
        <f t="shared" si="82"/>
        <v>0</v>
      </c>
      <c r="DG194">
        <f t="shared" ref="DG194:DG204" si="87">ROUND(ROUND(AF194*AJ194,2)*CX194,2)</f>
        <v>215.3</v>
      </c>
      <c r="DH194">
        <f t="shared" ref="DH194:DH204" si="88">ROUND(ROUND(AG194*AK194,2)*CX194,2)</f>
        <v>58.4</v>
      </c>
      <c r="DI194">
        <f t="shared" si="83"/>
        <v>0</v>
      </c>
      <c r="DJ194">
        <f t="shared" ref="DJ194:DJ204" si="89">DG194</f>
        <v>215.3</v>
      </c>
      <c r="DK194">
        <v>0</v>
      </c>
      <c r="DL194" t="s">
        <v>3</v>
      </c>
      <c r="DM194">
        <v>0</v>
      </c>
      <c r="DN194" t="s">
        <v>3</v>
      </c>
      <c r="DO194">
        <v>0</v>
      </c>
    </row>
    <row r="195" spans="1:119" x14ac:dyDescent="0.2">
      <c r="A195">
        <f>ROW(Source!A264)</f>
        <v>264</v>
      </c>
      <c r="B195">
        <v>94798619</v>
      </c>
      <c r="C195">
        <v>94799872</v>
      </c>
      <c r="D195">
        <v>37802443</v>
      </c>
      <c r="E195">
        <v>1</v>
      </c>
      <c r="F195">
        <v>1</v>
      </c>
      <c r="G195">
        <v>1</v>
      </c>
      <c r="H195">
        <v>2</v>
      </c>
      <c r="I195" t="s">
        <v>721</v>
      </c>
      <c r="J195" t="s">
        <v>722</v>
      </c>
      <c r="K195" t="s">
        <v>723</v>
      </c>
      <c r="L195">
        <v>1368</v>
      </c>
      <c r="N195">
        <v>1011</v>
      </c>
      <c r="O195" t="s">
        <v>700</v>
      </c>
      <c r="P195" t="s">
        <v>700</v>
      </c>
      <c r="Q195">
        <v>1</v>
      </c>
      <c r="W195">
        <v>0</v>
      </c>
      <c r="X195">
        <v>1447433125</v>
      </c>
      <c r="Y195">
        <f t="shared" si="65"/>
        <v>0.34</v>
      </c>
      <c r="AA195">
        <v>0</v>
      </c>
      <c r="AB195">
        <v>1453.68</v>
      </c>
      <c r="AC195">
        <v>426.77</v>
      </c>
      <c r="AD195">
        <v>0</v>
      </c>
      <c r="AE195">
        <v>0</v>
      </c>
      <c r="AF195">
        <v>124.14</v>
      </c>
      <c r="AG195">
        <v>12.1</v>
      </c>
      <c r="AH195">
        <v>0</v>
      </c>
      <c r="AI195">
        <v>1</v>
      </c>
      <c r="AJ195">
        <v>11.71</v>
      </c>
      <c r="AK195">
        <v>35.270000000000003</v>
      </c>
      <c r="AL195">
        <v>1</v>
      </c>
      <c r="AM195">
        <v>2</v>
      </c>
      <c r="AN195">
        <v>0</v>
      </c>
      <c r="AO195">
        <v>1</v>
      </c>
      <c r="AP195">
        <v>1</v>
      </c>
      <c r="AQ195">
        <v>0</v>
      </c>
      <c r="AR195">
        <v>0</v>
      </c>
      <c r="AS195" t="s">
        <v>3</v>
      </c>
      <c r="AT195">
        <v>0.34</v>
      </c>
      <c r="AU195" t="s">
        <v>3</v>
      </c>
      <c r="AV195">
        <v>0</v>
      </c>
      <c r="AW195">
        <v>2</v>
      </c>
      <c r="AX195">
        <v>94799876</v>
      </c>
      <c r="AY195">
        <v>1</v>
      </c>
      <c r="AZ195">
        <v>0</v>
      </c>
      <c r="BA195">
        <v>195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V195">
        <v>0</v>
      </c>
      <c r="CW195">
        <f>ROUND(Y195*Source!I264*DO195,9)</f>
        <v>0</v>
      </c>
      <c r="CX195">
        <f>ROUND(Y195*Source!I264,9)</f>
        <v>4.5900000000000003E-2</v>
      </c>
      <c r="CY195">
        <f t="shared" si="84"/>
        <v>1453.68</v>
      </c>
      <c r="CZ195">
        <f t="shared" si="85"/>
        <v>124.14</v>
      </c>
      <c r="DA195">
        <f t="shared" si="86"/>
        <v>11.71</v>
      </c>
      <c r="DB195">
        <f t="shared" si="66"/>
        <v>42.21</v>
      </c>
      <c r="DC195">
        <f t="shared" si="67"/>
        <v>4.1100000000000003</v>
      </c>
      <c r="DD195" t="s">
        <v>3</v>
      </c>
      <c r="DE195" t="s">
        <v>3</v>
      </c>
      <c r="DF195">
        <f t="shared" si="82"/>
        <v>0</v>
      </c>
      <c r="DG195">
        <f t="shared" si="87"/>
        <v>66.72</v>
      </c>
      <c r="DH195">
        <f t="shared" si="88"/>
        <v>19.59</v>
      </c>
      <c r="DI195">
        <f t="shared" si="83"/>
        <v>0</v>
      </c>
      <c r="DJ195">
        <f t="shared" si="89"/>
        <v>66.72</v>
      </c>
      <c r="DK195">
        <v>0</v>
      </c>
      <c r="DL195" t="s">
        <v>3</v>
      </c>
      <c r="DM195">
        <v>0</v>
      </c>
      <c r="DN195" t="s">
        <v>3</v>
      </c>
      <c r="DO195">
        <v>0</v>
      </c>
    </row>
    <row r="196" spans="1:119" x14ac:dyDescent="0.2">
      <c r="A196">
        <f>ROW(Source!A264)</f>
        <v>264</v>
      </c>
      <c r="B196">
        <v>94798619</v>
      </c>
      <c r="C196">
        <v>94799872</v>
      </c>
      <c r="D196">
        <v>37802449</v>
      </c>
      <c r="E196">
        <v>1</v>
      </c>
      <c r="F196">
        <v>1</v>
      </c>
      <c r="G196">
        <v>1</v>
      </c>
      <c r="H196">
        <v>2</v>
      </c>
      <c r="I196" t="s">
        <v>917</v>
      </c>
      <c r="J196" t="s">
        <v>918</v>
      </c>
      <c r="K196" t="s">
        <v>919</v>
      </c>
      <c r="L196">
        <v>1368</v>
      </c>
      <c r="N196">
        <v>1011</v>
      </c>
      <c r="O196" t="s">
        <v>700</v>
      </c>
      <c r="P196" t="s">
        <v>700</v>
      </c>
      <c r="Q196">
        <v>1</v>
      </c>
      <c r="W196">
        <v>0</v>
      </c>
      <c r="X196">
        <v>1842418400</v>
      </c>
      <c r="Y196">
        <f t="shared" si="65"/>
        <v>5.8</v>
      </c>
      <c r="AA196">
        <v>0</v>
      </c>
      <c r="AB196">
        <v>1527.05</v>
      </c>
      <c r="AC196">
        <v>426.77</v>
      </c>
      <c r="AD196">
        <v>0</v>
      </c>
      <c r="AE196">
        <v>0</v>
      </c>
      <c r="AF196">
        <v>144.47</v>
      </c>
      <c r="AG196">
        <v>12.1</v>
      </c>
      <c r="AH196">
        <v>0</v>
      </c>
      <c r="AI196">
        <v>1</v>
      </c>
      <c r="AJ196">
        <v>10.57</v>
      </c>
      <c r="AK196">
        <v>35.270000000000003</v>
      </c>
      <c r="AL196">
        <v>1</v>
      </c>
      <c r="AM196">
        <v>2</v>
      </c>
      <c r="AN196">
        <v>0</v>
      </c>
      <c r="AO196">
        <v>1</v>
      </c>
      <c r="AP196">
        <v>1</v>
      </c>
      <c r="AQ196">
        <v>0</v>
      </c>
      <c r="AR196">
        <v>0</v>
      </c>
      <c r="AS196" t="s">
        <v>3</v>
      </c>
      <c r="AT196">
        <v>5.8</v>
      </c>
      <c r="AU196" t="s">
        <v>3</v>
      </c>
      <c r="AV196">
        <v>0</v>
      </c>
      <c r="AW196">
        <v>2</v>
      </c>
      <c r="AX196">
        <v>94799877</v>
      </c>
      <c r="AY196">
        <v>1</v>
      </c>
      <c r="AZ196">
        <v>0</v>
      </c>
      <c r="BA196">
        <v>196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V196">
        <v>0</v>
      </c>
      <c r="CW196">
        <f>ROUND(Y196*Source!I264*DO196,9)</f>
        <v>0</v>
      </c>
      <c r="CX196">
        <f>ROUND(Y196*Source!I264,9)</f>
        <v>0.78300000000000003</v>
      </c>
      <c r="CY196">
        <f t="shared" si="84"/>
        <v>1527.05</v>
      </c>
      <c r="CZ196">
        <f t="shared" si="85"/>
        <v>144.47</v>
      </c>
      <c r="DA196">
        <f t="shared" si="86"/>
        <v>10.57</v>
      </c>
      <c r="DB196">
        <f t="shared" si="66"/>
        <v>837.93</v>
      </c>
      <c r="DC196">
        <f t="shared" si="67"/>
        <v>70.180000000000007</v>
      </c>
      <c r="DD196" t="s">
        <v>3</v>
      </c>
      <c r="DE196" t="s">
        <v>3</v>
      </c>
      <c r="DF196">
        <f t="shared" si="82"/>
        <v>0</v>
      </c>
      <c r="DG196">
        <f t="shared" si="87"/>
        <v>1195.68</v>
      </c>
      <c r="DH196">
        <f t="shared" si="88"/>
        <v>334.16</v>
      </c>
      <c r="DI196">
        <f t="shared" si="83"/>
        <v>0</v>
      </c>
      <c r="DJ196">
        <f t="shared" si="89"/>
        <v>1195.68</v>
      </c>
      <c r="DK196">
        <v>0</v>
      </c>
      <c r="DL196" t="s">
        <v>3</v>
      </c>
      <c r="DM196">
        <v>0</v>
      </c>
      <c r="DN196" t="s">
        <v>3</v>
      </c>
      <c r="DO196">
        <v>0</v>
      </c>
    </row>
    <row r="197" spans="1:119" x14ac:dyDescent="0.2">
      <c r="A197">
        <f>ROW(Source!A264)</f>
        <v>264</v>
      </c>
      <c r="B197">
        <v>94798619</v>
      </c>
      <c r="C197">
        <v>94799872</v>
      </c>
      <c r="D197">
        <v>37802465</v>
      </c>
      <c r="E197">
        <v>1</v>
      </c>
      <c r="F197">
        <v>1</v>
      </c>
      <c r="G197">
        <v>1</v>
      </c>
      <c r="H197">
        <v>2</v>
      </c>
      <c r="I197" t="s">
        <v>920</v>
      </c>
      <c r="J197" t="s">
        <v>921</v>
      </c>
      <c r="K197" t="s">
        <v>922</v>
      </c>
      <c r="L197">
        <v>1368</v>
      </c>
      <c r="N197">
        <v>1011</v>
      </c>
      <c r="O197" t="s">
        <v>700</v>
      </c>
      <c r="P197" t="s">
        <v>700</v>
      </c>
      <c r="Q197">
        <v>1</v>
      </c>
      <c r="W197">
        <v>0</v>
      </c>
      <c r="X197">
        <v>-634994428</v>
      </c>
      <c r="Y197">
        <f t="shared" si="65"/>
        <v>4.8899999999999997</v>
      </c>
      <c r="AA197">
        <v>0</v>
      </c>
      <c r="AB197">
        <v>2397.4899999999998</v>
      </c>
      <c r="AC197">
        <v>454.98</v>
      </c>
      <c r="AD197">
        <v>0</v>
      </c>
      <c r="AE197">
        <v>0</v>
      </c>
      <c r="AF197">
        <v>187.45</v>
      </c>
      <c r="AG197">
        <v>12.9</v>
      </c>
      <c r="AH197">
        <v>0</v>
      </c>
      <c r="AI197">
        <v>1</v>
      </c>
      <c r="AJ197">
        <v>12.79</v>
      </c>
      <c r="AK197">
        <v>35.270000000000003</v>
      </c>
      <c r="AL197">
        <v>1</v>
      </c>
      <c r="AM197">
        <v>2</v>
      </c>
      <c r="AN197">
        <v>0</v>
      </c>
      <c r="AO197">
        <v>1</v>
      </c>
      <c r="AP197">
        <v>1</v>
      </c>
      <c r="AQ197">
        <v>0</v>
      </c>
      <c r="AR197">
        <v>0</v>
      </c>
      <c r="AS197" t="s">
        <v>3</v>
      </c>
      <c r="AT197">
        <v>4.8899999999999997</v>
      </c>
      <c r="AU197" t="s">
        <v>3</v>
      </c>
      <c r="AV197">
        <v>0</v>
      </c>
      <c r="AW197">
        <v>2</v>
      </c>
      <c r="AX197">
        <v>94799878</v>
      </c>
      <c r="AY197">
        <v>1</v>
      </c>
      <c r="AZ197">
        <v>0</v>
      </c>
      <c r="BA197">
        <v>197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V197">
        <v>0</v>
      </c>
      <c r="CW197">
        <f>ROUND(Y197*Source!I264*DO197,9)</f>
        <v>0</v>
      </c>
      <c r="CX197">
        <f>ROUND(Y197*Source!I264,9)</f>
        <v>0.66015000000000001</v>
      </c>
      <c r="CY197">
        <f t="shared" si="84"/>
        <v>2397.4899999999998</v>
      </c>
      <c r="CZ197">
        <f t="shared" si="85"/>
        <v>187.45</v>
      </c>
      <c r="DA197">
        <f t="shared" si="86"/>
        <v>12.79</v>
      </c>
      <c r="DB197">
        <f t="shared" si="66"/>
        <v>916.63</v>
      </c>
      <c r="DC197">
        <f t="shared" si="67"/>
        <v>63.08</v>
      </c>
      <c r="DD197" t="s">
        <v>3</v>
      </c>
      <c r="DE197" t="s">
        <v>3</v>
      </c>
      <c r="DF197">
        <f t="shared" si="82"/>
        <v>0</v>
      </c>
      <c r="DG197">
        <f t="shared" si="87"/>
        <v>1582.7</v>
      </c>
      <c r="DH197">
        <f t="shared" si="88"/>
        <v>300.36</v>
      </c>
      <c r="DI197">
        <f t="shared" si="83"/>
        <v>0</v>
      </c>
      <c r="DJ197">
        <f t="shared" si="89"/>
        <v>1582.7</v>
      </c>
      <c r="DK197">
        <v>0</v>
      </c>
      <c r="DL197" t="s">
        <v>3</v>
      </c>
      <c r="DM197">
        <v>0</v>
      </c>
      <c r="DN197" t="s">
        <v>3</v>
      </c>
      <c r="DO197">
        <v>0</v>
      </c>
    </row>
    <row r="198" spans="1:119" x14ac:dyDescent="0.2">
      <c r="A198">
        <f>ROW(Source!A264)</f>
        <v>264</v>
      </c>
      <c r="B198">
        <v>94798619</v>
      </c>
      <c r="C198">
        <v>94799872</v>
      </c>
      <c r="D198">
        <v>37802466</v>
      </c>
      <c r="E198">
        <v>1</v>
      </c>
      <c r="F198">
        <v>1</v>
      </c>
      <c r="G198">
        <v>1</v>
      </c>
      <c r="H198">
        <v>2</v>
      </c>
      <c r="I198" t="s">
        <v>923</v>
      </c>
      <c r="J198" t="s">
        <v>924</v>
      </c>
      <c r="K198" t="s">
        <v>925</v>
      </c>
      <c r="L198">
        <v>1368</v>
      </c>
      <c r="N198">
        <v>1011</v>
      </c>
      <c r="O198" t="s">
        <v>700</v>
      </c>
      <c r="P198" t="s">
        <v>700</v>
      </c>
      <c r="Q198">
        <v>1</v>
      </c>
      <c r="W198">
        <v>0</v>
      </c>
      <c r="X198">
        <v>367004957</v>
      </c>
      <c r="Y198">
        <f t="shared" si="65"/>
        <v>2.2400000000000002</v>
      </c>
      <c r="AA198">
        <v>0</v>
      </c>
      <c r="AB198">
        <v>3366.34</v>
      </c>
      <c r="AC198">
        <v>791.81</v>
      </c>
      <c r="AD198">
        <v>0</v>
      </c>
      <c r="AE198">
        <v>0</v>
      </c>
      <c r="AF198">
        <v>311.41000000000003</v>
      </c>
      <c r="AG198">
        <v>22.45</v>
      </c>
      <c r="AH198">
        <v>0</v>
      </c>
      <c r="AI198">
        <v>1</v>
      </c>
      <c r="AJ198">
        <v>10.81</v>
      </c>
      <c r="AK198">
        <v>35.270000000000003</v>
      </c>
      <c r="AL198">
        <v>1</v>
      </c>
      <c r="AM198">
        <v>2</v>
      </c>
      <c r="AN198">
        <v>0</v>
      </c>
      <c r="AO198">
        <v>1</v>
      </c>
      <c r="AP198">
        <v>1</v>
      </c>
      <c r="AQ198">
        <v>0</v>
      </c>
      <c r="AR198">
        <v>0</v>
      </c>
      <c r="AS198" t="s">
        <v>3</v>
      </c>
      <c r="AT198">
        <v>2.2400000000000002</v>
      </c>
      <c r="AU198" t="s">
        <v>3</v>
      </c>
      <c r="AV198">
        <v>0</v>
      </c>
      <c r="AW198">
        <v>2</v>
      </c>
      <c r="AX198">
        <v>94799879</v>
      </c>
      <c r="AY198">
        <v>1</v>
      </c>
      <c r="AZ198">
        <v>0</v>
      </c>
      <c r="BA198">
        <v>198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V198">
        <v>0</v>
      </c>
      <c r="CW198">
        <f>ROUND(Y198*Source!I264*DO198,9)</f>
        <v>0</v>
      </c>
      <c r="CX198">
        <f>ROUND(Y198*Source!I264,9)</f>
        <v>0.3024</v>
      </c>
      <c r="CY198">
        <f t="shared" si="84"/>
        <v>3366.34</v>
      </c>
      <c r="CZ198">
        <f t="shared" si="85"/>
        <v>311.41000000000003</v>
      </c>
      <c r="DA198">
        <f t="shared" si="86"/>
        <v>10.81</v>
      </c>
      <c r="DB198">
        <f t="shared" si="66"/>
        <v>697.56</v>
      </c>
      <c r="DC198">
        <f t="shared" si="67"/>
        <v>50.29</v>
      </c>
      <c r="DD198" t="s">
        <v>3</v>
      </c>
      <c r="DE198" t="s">
        <v>3</v>
      </c>
      <c r="DF198">
        <f t="shared" si="82"/>
        <v>0</v>
      </c>
      <c r="DG198">
        <f t="shared" si="87"/>
        <v>1017.98</v>
      </c>
      <c r="DH198">
        <f t="shared" si="88"/>
        <v>239.44</v>
      </c>
      <c r="DI198">
        <f t="shared" si="83"/>
        <v>0</v>
      </c>
      <c r="DJ198">
        <f t="shared" si="89"/>
        <v>1017.98</v>
      </c>
      <c r="DK198">
        <v>0</v>
      </c>
      <c r="DL198" t="s">
        <v>3</v>
      </c>
      <c r="DM198">
        <v>0</v>
      </c>
      <c r="DN198" t="s">
        <v>3</v>
      </c>
      <c r="DO198">
        <v>0</v>
      </c>
    </row>
    <row r="199" spans="1:119" x14ac:dyDescent="0.2">
      <c r="A199">
        <f>ROW(Source!A264)</f>
        <v>264</v>
      </c>
      <c r="B199">
        <v>94798619</v>
      </c>
      <c r="C199">
        <v>94799872</v>
      </c>
      <c r="D199">
        <v>37802530</v>
      </c>
      <c r="E199">
        <v>1</v>
      </c>
      <c r="F199">
        <v>1</v>
      </c>
      <c r="G199">
        <v>1</v>
      </c>
      <c r="H199">
        <v>2</v>
      </c>
      <c r="I199" t="s">
        <v>827</v>
      </c>
      <c r="J199" t="s">
        <v>828</v>
      </c>
      <c r="K199" t="s">
        <v>829</v>
      </c>
      <c r="L199">
        <v>1368</v>
      </c>
      <c r="N199">
        <v>1011</v>
      </c>
      <c r="O199" t="s">
        <v>700</v>
      </c>
      <c r="P199" t="s">
        <v>700</v>
      </c>
      <c r="Q199">
        <v>1</v>
      </c>
      <c r="W199">
        <v>0</v>
      </c>
      <c r="X199">
        <v>11972859</v>
      </c>
      <c r="Y199">
        <f t="shared" si="65"/>
        <v>0.99</v>
      </c>
      <c r="AA199">
        <v>0</v>
      </c>
      <c r="AB199">
        <v>8.09</v>
      </c>
      <c r="AC199">
        <v>0</v>
      </c>
      <c r="AD199">
        <v>0</v>
      </c>
      <c r="AE199">
        <v>0</v>
      </c>
      <c r="AF199">
        <v>1.52</v>
      </c>
      <c r="AG199">
        <v>0</v>
      </c>
      <c r="AH199">
        <v>0</v>
      </c>
      <c r="AI199">
        <v>1</v>
      </c>
      <c r="AJ199">
        <v>5.32</v>
      </c>
      <c r="AK199">
        <v>35.270000000000003</v>
      </c>
      <c r="AL199">
        <v>1</v>
      </c>
      <c r="AM199">
        <v>2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3</v>
      </c>
      <c r="AT199">
        <v>0.99</v>
      </c>
      <c r="AU199" t="s">
        <v>3</v>
      </c>
      <c r="AV199">
        <v>0</v>
      </c>
      <c r="AW199">
        <v>2</v>
      </c>
      <c r="AX199">
        <v>94799880</v>
      </c>
      <c r="AY199">
        <v>1</v>
      </c>
      <c r="AZ199">
        <v>0</v>
      </c>
      <c r="BA199">
        <v>199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V199">
        <v>0</v>
      </c>
      <c r="CW199">
        <f>ROUND(Y199*Source!I264*DO199,9)</f>
        <v>0</v>
      </c>
      <c r="CX199">
        <f>ROUND(Y199*Source!I264,9)</f>
        <v>0.13364999999999999</v>
      </c>
      <c r="CY199">
        <f t="shared" si="84"/>
        <v>8.09</v>
      </c>
      <c r="CZ199">
        <f t="shared" si="85"/>
        <v>1.52</v>
      </c>
      <c r="DA199">
        <f t="shared" si="86"/>
        <v>5.32</v>
      </c>
      <c r="DB199">
        <f t="shared" si="66"/>
        <v>1.5</v>
      </c>
      <c r="DC199">
        <f t="shared" si="67"/>
        <v>0</v>
      </c>
      <c r="DD199" t="s">
        <v>3</v>
      </c>
      <c r="DE199" t="s">
        <v>3</v>
      </c>
      <c r="DF199">
        <f t="shared" si="82"/>
        <v>0</v>
      </c>
      <c r="DG199">
        <f t="shared" si="87"/>
        <v>1.08</v>
      </c>
      <c r="DH199">
        <f t="shared" si="88"/>
        <v>0</v>
      </c>
      <c r="DI199">
        <f t="shared" si="83"/>
        <v>0</v>
      </c>
      <c r="DJ199">
        <f t="shared" si="89"/>
        <v>1.08</v>
      </c>
      <c r="DK199">
        <v>0</v>
      </c>
      <c r="DL199" t="s">
        <v>3</v>
      </c>
      <c r="DM199">
        <v>0</v>
      </c>
      <c r="DN199" t="s">
        <v>3</v>
      </c>
      <c r="DO199">
        <v>0</v>
      </c>
    </row>
    <row r="200" spans="1:119" x14ac:dyDescent="0.2">
      <c r="A200">
        <f>ROW(Source!A264)</f>
        <v>264</v>
      </c>
      <c r="B200">
        <v>94798619</v>
      </c>
      <c r="C200">
        <v>94799872</v>
      </c>
      <c r="D200">
        <v>37802659</v>
      </c>
      <c r="E200">
        <v>1</v>
      </c>
      <c r="F200">
        <v>1</v>
      </c>
      <c r="G200">
        <v>1</v>
      </c>
      <c r="H200">
        <v>2</v>
      </c>
      <c r="I200" t="s">
        <v>777</v>
      </c>
      <c r="J200" t="s">
        <v>778</v>
      </c>
      <c r="K200" t="s">
        <v>779</v>
      </c>
      <c r="L200">
        <v>1368</v>
      </c>
      <c r="N200">
        <v>1011</v>
      </c>
      <c r="O200" t="s">
        <v>700</v>
      </c>
      <c r="P200" t="s">
        <v>700</v>
      </c>
      <c r="Q200">
        <v>1</v>
      </c>
      <c r="W200">
        <v>0</v>
      </c>
      <c r="X200">
        <v>4083802</v>
      </c>
      <c r="Y200">
        <f t="shared" si="65"/>
        <v>3.36</v>
      </c>
      <c r="AA200">
        <v>0</v>
      </c>
      <c r="AB200">
        <v>9.35</v>
      </c>
      <c r="AC200">
        <v>0</v>
      </c>
      <c r="AD200">
        <v>0</v>
      </c>
      <c r="AE200">
        <v>0</v>
      </c>
      <c r="AF200">
        <v>1.43</v>
      </c>
      <c r="AG200">
        <v>0</v>
      </c>
      <c r="AH200">
        <v>0</v>
      </c>
      <c r="AI200">
        <v>1</v>
      </c>
      <c r="AJ200">
        <v>6.54</v>
      </c>
      <c r="AK200">
        <v>35.270000000000003</v>
      </c>
      <c r="AL200">
        <v>1</v>
      </c>
      <c r="AM200">
        <v>2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3</v>
      </c>
      <c r="AT200">
        <v>3.36</v>
      </c>
      <c r="AU200" t="s">
        <v>3</v>
      </c>
      <c r="AV200">
        <v>0</v>
      </c>
      <c r="AW200">
        <v>2</v>
      </c>
      <c r="AX200">
        <v>94799881</v>
      </c>
      <c r="AY200">
        <v>1</v>
      </c>
      <c r="AZ200">
        <v>0</v>
      </c>
      <c r="BA200">
        <v>200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V200">
        <v>0</v>
      </c>
      <c r="CW200">
        <f>ROUND(Y200*Source!I264*DO200,9)</f>
        <v>0</v>
      </c>
      <c r="CX200">
        <f>ROUND(Y200*Source!I264,9)</f>
        <v>0.4536</v>
      </c>
      <c r="CY200">
        <f t="shared" si="84"/>
        <v>9.35</v>
      </c>
      <c r="CZ200">
        <f t="shared" si="85"/>
        <v>1.43</v>
      </c>
      <c r="DA200">
        <f t="shared" si="86"/>
        <v>6.54</v>
      </c>
      <c r="DB200">
        <f t="shared" si="66"/>
        <v>4.8</v>
      </c>
      <c r="DC200">
        <f t="shared" si="67"/>
        <v>0</v>
      </c>
      <c r="DD200" t="s">
        <v>3</v>
      </c>
      <c r="DE200" t="s">
        <v>3</v>
      </c>
      <c r="DF200">
        <f t="shared" si="82"/>
        <v>0</v>
      </c>
      <c r="DG200">
        <f t="shared" si="87"/>
        <v>4.24</v>
      </c>
      <c r="DH200">
        <f t="shared" si="88"/>
        <v>0</v>
      </c>
      <c r="DI200">
        <f t="shared" si="83"/>
        <v>0</v>
      </c>
      <c r="DJ200">
        <f t="shared" si="89"/>
        <v>4.24</v>
      </c>
      <c r="DK200">
        <v>0</v>
      </c>
      <c r="DL200" t="s">
        <v>3</v>
      </c>
      <c r="DM200">
        <v>0</v>
      </c>
      <c r="DN200" t="s">
        <v>3</v>
      </c>
      <c r="DO200">
        <v>0</v>
      </c>
    </row>
    <row r="201" spans="1:119" x14ac:dyDescent="0.2">
      <c r="A201">
        <f>ROW(Source!A264)</f>
        <v>264</v>
      </c>
      <c r="B201">
        <v>94798619</v>
      </c>
      <c r="C201">
        <v>94799872</v>
      </c>
      <c r="D201">
        <v>37802669</v>
      </c>
      <c r="E201">
        <v>1</v>
      </c>
      <c r="F201">
        <v>1</v>
      </c>
      <c r="G201">
        <v>1</v>
      </c>
      <c r="H201">
        <v>2</v>
      </c>
      <c r="I201" t="s">
        <v>833</v>
      </c>
      <c r="J201" t="s">
        <v>834</v>
      </c>
      <c r="K201" t="s">
        <v>835</v>
      </c>
      <c r="L201">
        <v>1368</v>
      </c>
      <c r="N201">
        <v>1011</v>
      </c>
      <c r="O201" t="s">
        <v>700</v>
      </c>
      <c r="P201" t="s">
        <v>700</v>
      </c>
      <c r="Q201">
        <v>1</v>
      </c>
      <c r="W201">
        <v>0</v>
      </c>
      <c r="X201">
        <v>1565869296</v>
      </c>
      <c r="Y201">
        <f t="shared" si="65"/>
        <v>0.18</v>
      </c>
      <c r="AA201">
        <v>0</v>
      </c>
      <c r="AB201">
        <v>116.79</v>
      </c>
      <c r="AC201">
        <v>0</v>
      </c>
      <c r="AD201">
        <v>0</v>
      </c>
      <c r="AE201">
        <v>0</v>
      </c>
      <c r="AF201">
        <v>9.6999999999999993</v>
      </c>
      <c r="AG201">
        <v>0</v>
      </c>
      <c r="AH201">
        <v>0</v>
      </c>
      <c r="AI201">
        <v>1</v>
      </c>
      <c r="AJ201">
        <v>12.04</v>
      </c>
      <c r="AK201">
        <v>35.270000000000003</v>
      </c>
      <c r="AL201">
        <v>1</v>
      </c>
      <c r="AM201">
        <v>2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3</v>
      </c>
      <c r="AT201">
        <v>0.18</v>
      </c>
      <c r="AU201" t="s">
        <v>3</v>
      </c>
      <c r="AV201">
        <v>0</v>
      </c>
      <c r="AW201">
        <v>2</v>
      </c>
      <c r="AX201">
        <v>94799882</v>
      </c>
      <c r="AY201">
        <v>1</v>
      </c>
      <c r="AZ201">
        <v>0</v>
      </c>
      <c r="BA201">
        <v>201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V201">
        <v>0</v>
      </c>
      <c r="CW201">
        <f>ROUND(Y201*Source!I264*DO201,9)</f>
        <v>0</v>
      </c>
      <c r="CX201">
        <f>ROUND(Y201*Source!I264,9)</f>
        <v>2.4299999999999999E-2</v>
      </c>
      <c r="CY201">
        <f t="shared" si="84"/>
        <v>116.79</v>
      </c>
      <c r="CZ201">
        <f t="shared" si="85"/>
        <v>9.6999999999999993</v>
      </c>
      <c r="DA201">
        <f t="shared" si="86"/>
        <v>12.04</v>
      </c>
      <c r="DB201">
        <f t="shared" si="66"/>
        <v>1.75</v>
      </c>
      <c r="DC201">
        <f t="shared" si="67"/>
        <v>0</v>
      </c>
      <c r="DD201" t="s">
        <v>3</v>
      </c>
      <c r="DE201" t="s">
        <v>3</v>
      </c>
      <c r="DF201">
        <f t="shared" si="82"/>
        <v>0</v>
      </c>
      <c r="DG201">
        <f t="shared" si="87"/>
        <v>2.84</v>
      </c>
      <c r="DH201">
        <f t="shared" si="88"/>
        <v>0</v>
      </c>
      <c r="DI201">
        <f t="shared" si="83"/>
        <v>0</v>
      </c>
      <c r="DJ201">
        <f t="shared" si="89"/>
        <v>2.84</v>
      </c>
      <c r="DK201">
        <v>0</v>
      </c>
      <c r="DL201" t="s">
        <v>3</v>
      </c>
      <c r="DM201">
        <v>0</v>
      </c>
      <c r="DN201" t="s">
        <v>3</v>
      </c>
      <c r="DO201">
        <v>0</v>
      </c>
    </row>
    <row r="202" spans="1:119" x14ac:dyDescent="0.2">
      <c r="A202">
        <f>ROW(Source!A264)</f>
        <v>264</v>
      </c>
      <c r="B202">
        <v>94798619</v>
      </c>
      <c r="C202">
        <v>94799872</v>
      </c>
      <c r="D202">
        <v>37802676</v>
      </c>
      <c r="E202">
        <v>1</v>
      </c>
      <c r="F202">
        <v>1</v>
      </c>
      <c r="G202">
        <v>1</v>
      </c>
      <c r="H202">
        <v>2</v>
      </c>
      <c r="I202" t="s">
        <v>836</v>
      </c>
      <c r="J202" t="s">
        <v>837</v>
      </c>
      <c r="K202" t="s">
        <v>838</v>
      </c>
      <c r="L202">
        <v>1368</v>
      </c>
      <c r="N202">
        <v>1011</v>
      </c>
      <c r="O202" t="s">
        <v>700</v>
      </c>
      <c r="P202" t="s">
        <v>700</v>
      </c>
      <c r="Q202">
        <v>1</v>
      </c>
      <c r="W202">
        <v>0</v>
      </c>
      <c r="X202">
        <v>1535524603</v>
      </c>
      <c r="Y202">
        <f t="shared" si="65"/>
        <v>0.02</v>
      </c>
      <c r="AA202">
        <v>0</v>
      </c>
      <c r="AB202">
        <v>74.94</v>
      </c>
      <c r="AC202">
        <v>0</v>
      </c>
      <c r="AD202">
        <v>0</v>
      </c>
      <c r="AE202">
        <v>0</v>
      </c>
      <c r="AF202">
        <v>6.4</v>
      </c>
      <c r="AG202">
        <v>0</v>
      </c>
      <c r="AH202">
        <v>0</v>
      </c>
      <c r="AI202">
        <v>1</v>
      </c>
      <c r="AJ202">
        <v>11.71</v>
      </c>
      <c r="AK202">
        <v>35.270000000000003</v>
      </c>
      <c r="AL202">
        <v>1</v>
      </c>
      <c r="AM202">
        <v>2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3</v>
      </c>
      <c r="AT202">
        <v>0.02</v>
      </c>
      <c r="AU202" t="s">
        <v>3</v>
      </c>
      <c r="AV202">
        <v>0</v>
      </c>
      <c r="AW202">
        <v>2</v>
      </c>
      <c r="AX202">
        <v>94799883</v>
      </c>
      <c r="AY202">
        <v>1</v>
      </c>
      <c r="AZ202">
        <v>0</v>
      </c>
      <c r="BA202">
        <v>202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V202">
        <v>0</v>
      </c>
      <c r="CW202">
        <f>ROUND(Y202*Source!I264*DO202,9)</f>
        <v>0</v>
      </c>
      <c r="CX202">
        <f>ROUND(Y202*Source!I264,9)</f>
        <v>2.7000000000000001E-3</v>
      </c>
      <c r="CY202">
        <f t="shared" si="84"/>
        <v>74.94</v>
      </c>
      <c r="CZ202">
        <f t="shared" si="85"/>
        <v>6.4</v>
      </c>
      <c r="DA202">
        <f t="shared" si="86"/>
        <v>11.71</v>
      </c>
      <c r="DB202">
        <f t="shared" si="66"/>
        <v>0.13</v>
      </c>
      <c r="DC202">
        <f t="shared" si="67"/>
        <v>0</v>
      </c>
      <c r="DD202" t="s">
        <v>3</v>
      </c>
      <c r="DE202" t="s">
        <v>3</v>
      </c>
      <c r="DF202">
        <f t="shared" si="82"/>
        <v>0</v>
      </c>
      <c r="DG202">
        <f t="shared" si="87"/>
        <v>0.2</v>
      </c>
      <c r="DH202">
        <f t="shared" si="88"/>
        <v>0</v>
      </c>
      <c r="DI202">
        <f t="shared" si="83"/>
        <v>0</v>
      </c>
      <c r="DJ202">
        <f t="shared" si="89"/>
        <v>0.2</v>
      </c>
      <c r="DK202">
        <v>0</v>
      </c>
      <c r="DL202" t="s">
        <v>3</v>
      </c>
      <c r="DM202">
        <v>0</v>
      </c>
      <c r="DN202" t="s">
        <v>3</v>
      </c>
      <c r="DO202">
        <v>0</v>
      </c>
    </row>
    <row r="203" spans="1:119" x14ac:dyDescent="0.2">
      <c r="A203">
        <f>ROW(Source!A264)</f>
        <v>264</v>
      </c>
      <c r="B203">
        <v>94798619</v>
      </c>
      <c r="C203">
        <v>94799872</v>
      </c>
      <c r="D203">
        <v>37804065</v>
      </c>
      <c r="E203">
        <v>1</v>
      </c>
      <c r="F203">
        <v>1</v>
      </c>
      <c r="G203">
        <v>1</v>
      </c>
      <c r="H203">
        <v>2</v>
      </c>
      <c r="I203" t="s">
        <v>797</v>
      </c>
      <c r="J203" t="s">
        <v>798</v>
      </c>
      <c r="K203" t="s">
        <v>799</v>
      </c>
      <c r="L203">
        <v>1368</v>
      </c>
      <c r="N203">
        <v>1011</v>
      </c>
      <c r="O203" t="s">
        <v>700</v>
      </c>
      <c r="P203" t="s">
        <v>700</v>
      </c>
      <c r="Q203">
        <v>1</v>
      </c>
      <c r="W203">
        <v>0</v>
      </c>
      <c r="X203">
        <v>835824343</v>
      </c>
      <c r="Y203">
        <f t="shared" si="65"/>
        <v>2.41</v>
      </c>
      <c r="AA203">
        <v>0</v>
      </c>
      <c r="AB203">
        <v>12.13</v>
      </c>
      <c r="AC203">
        <v>0</v>
      </c>
      <c r="AD203">
        <v>0</v>
      </c>
      <c r="AE203">
        <v>0</v>
      </c>
      <c r="AF203">
        <v>2.15</v>
      </c>
      <c r="AG203">
        <v>0</v>
      </c>
      <c r="AH203">
        <v>0</v>
      </c>
      <c r="AI203">
        <v>1</v>
      </c>
      <c r="AJ203">
        <v>5.64</v>
      </c>
      <c r="AK203">
        <v>35.270000000000003</v>
      </c>
      <c r="AL203">
        <v>1</v>
      </c>
      <c r="AM203">
        <v>2</v>
      </c>
      <c r="AN203">
        <v>0</v>
      </c>
      <c r="AO203">
        <v>1</v>
      </c>
      <c r="AP203">
        <v>1</v>
      </c>
      <c r="AQ203">
        <v>0</v>
      </c>
      <c r="AR203">
        <v>0</v>
      </c>
      <c r="AS203" t="s">
        <v>3</v>
      </c>
      <c r="AT203">
        <v>2.41</v>
      </c>
      <c r="AU203" t="s">
        <v>3</v>
      </c>
      <c r="AV203">
        <v>0</v>
      </c>
      <c r="AW203">
        <v>2</v>
      </c>
      <c r="AX203">
        <v>94799884</v>
      </c>
      <c r="AY203">
        <v>1</v>
      </c>
      <c r="AZ203">
        <v>0</v>
      </c>
      <c r="BA203">
        <v>203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V203">
        <v>0</v>
      </c>
      <c r="CW203">
        <f>ROUND(Y203*Source!I264*DO203,9)</f>
        <v>0</v>
      </c>
      <c r="CX203">
        <f>ROUND(Y203*Source!I264,9)</f>
        <v>0.32534999999999997</v>
      </c>
      <c r="CY203">
        <f t="shared" si="84"/>
        <v>12.13</v>
      </c>
      <c r="CZ203">
        <f t="shared" si="85"/>
        <v>2.15</v>
      </c>
      <c r="DA203">
        <f t="shared" si="86"/>
        <v>5.64</v>
      </c>
      <c r="DB203">
        <f t="shared" si="66"/>
        <v>5.18</v>
      </c>
      <c r="DC203">
        <f t="shared" si="67"/>
        <v>0</v>
      </c>
      <c r="DD203" t="s">
        <v>3</v>
      </c>
      <c r="DE203" t="s">
        <v>3</v>
      </c>
      <c r="DF203">
        <f t="shared" si="82"/>
        <v>0</v>
      </c>
      <c r="DG203">
        <f t="shared" si="87"/>
        <v>3.95</v>
      </c>
      <c r="DH203">
        <f t="shared" si="88"/>
        <v>0</v>
      </c>
      <c r="DI203">
        <f t="shared" si="83"/>
        <v>0</v>
      </c>
      <c r="DJ203">
        <f t="shared" si="89"/>
        <v>3.95</v>
      </c>
      <c r="DK203">
        <v>0</v>
      </c>
      <c r="DL203" t="s">
        <v>3</v>
      </c>
      <c r="DM203">
        <v>0</v>
      </c>
      <c r="DN203" t="s">
        <v>3</v>
      </c>
      <c r="DO203">
        <v>0</v>
      </c>
    </row>
    <row r="204" spans="1:119" x14ac:dyDescent="0.2">
      <c r="A204">
        <f>ROW(Source!A264)</f>
        <v>264</v>
      </c>
      <c r="B204">
        <v>94798619</v>
      </c>
      <c r="C204">
        <v>94799872</v>
      </c>
      <c r="D204">
        <v>37804456</v>
      </c>
      <c r="E204">
        <v>1</v>
      </c>
      <c r="F204">
        <v>1</v>
      </c>
      <c r="G204">
        <v>1</v>
      </c>
      <c r="H204">
        <v>2</v>
      </c>
      <c r="I204" t="s">
        <v>713</v>
      </c>
      <c r="J204" t="s">
        <v>714</v>
      </c>
      <c r="K204" t="s">
        <v>715</v>
      </c>
      <c r="L204">
        <v>1368</v>
      </c>
      <c r="N204">
        <v>1011</v>
      </c>
      <c r="O204" t="s">
        <v>700</v>
      </c>
      <c r="P204" t="s">
        <v>700</v>
      </c>
      <c r="Q204">
        <v>1</v>
      </c>
      <c r="W204">
        <v>0</v>
      </c>
      <c r="X204">
        <v>-671646184</v>
      </c>
      <c r="Y204">
        <f t="shared" si="65"/>
        <v>0.5</v>
      </c>
      <c r="AA204">
        <v>0</v>
      </c>
      <c r="AB204">
        <v>1305.74</v>
      </c>
      <c r="AC204">
        <v>365.04</v>
      </c>
      <c r="AD204">
        <v>0</v>
      </c>
      <c r="AE204">
        <v>0</v>
      </c>
      <c r="AF204">
        <v>91.76</v>
      </c>
      <c r="AG204">
        <v>10.35</v>
      </c>
      <c r="AH204">
        <v>0</v>
      </c>
      <c r="AI204">
        <v>1</v>
      </c>
      <c r="AJ204">
        <v>14.23</v>
      </c>
      <c r="AK204">
        <v>35.270000000000003</v>
      </c>
      <c r="AL204">
        <v>1</v>
      </c>
      <c r="AM204">
        <v>2</v>
      </c>
      <c r="AN204">
        <v>0</v>
      </c>
      <c r="AO204">
        <v>1</v>
      </c>
      <c r="AP204">
        <v>1</v>
      </c>
      <c r="AQ204">
        <v>0</v>
      </c>
      <c r="AR204">
        <v>0</v>
      </c>
      <c r="AS204" t="s">
        <v>3</v>
      </c>
      <c r="AT204">
        <v>0.5</v>
      </c>
      <c r="AU204" t="s">
        <v>3</v>
      </c>
      <c r="AV204">
        <v>0</v>
      </c>
      <c r="AW204">
        <v>2</v>
      </c>
      <c r="AX204">
        <v>94799885</v>
      </c>
      <c r="AY204">
        <v>1</v>
      </c>
      <c r="AZ204">
        <v>0</v>
      </c>
      <c r="BA204">
        <v>204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V204">
        <v>0</v>
      </c>
      <c r="CW204">
        <f>ROUND(Y204*Source!I264*DO204,9)</f>
        <v>0</v>
      </c>
      <c r="CX204">
        <f>ROUND(Y204*Source!I264,9)</f>
        <v>6.7500000000000004E-2</v>
      </c>
      <c r="CY204">
        <f t="shared" si="84"/>
        <v>1305.74</v>
      </c>
      <c r="CZ204">
        <f t="shared" si="85"/>
        <v>91.76</v>
      </c>
      <c r="DA204">
        <f t="shared" si="86"/>
        <v>14.23</v>
      </c>
      <c r="DB204">
        <f t="shared" si="66"/>
        <v>45.88</v>
      </c>
      <c r="DC204">
        <f t="shared" si="67"/>
        <v>5.18</v>
      </c>
      <c r="DD204" t="s">
        <v>3</v>
      </c>
      <c r="DE204" t="s">
        <v>3</v>
      </c>
      <c r="DF204">
        <f t="shared" si="82"/>
        <v>0</v>
      </c>
      <c r="DG204">
        <f t="shared" si="87"/>
        <v>88.14</v>
      </c>
      <c r="DH204">
        <f t="shared" si="88"/>
        <v>24.64</v>
      </c>
      <c r="DI204">
        <f t="shared" si="83"/>
        <v>0</v>
      </c>
      <c r="DJ204">
        <f t="shared" si="89"/>
        <v>88.14</v>
      </c>
      <c r="DK204">
        <v>0</v>
      </c>
      <c r="DL204" t="s">
        <v>3</v>
      </c>
      <c r="DM204">
        <v>0</v>
      </c>
      <c r="DN204" t="s">
        <v>3</v>
      </c>
      <c r="DO204">
        <v>0</v>
      </c>
    </row>
    <row r="205" spans="1:119" x14ac:dyDescent="0.2">
      <c r="A205">
        <f>ROW(Source!A264)</f>
        <v>264</v>
      </c>
      <c r="B205">
        <v>94798619</v>
      </c>
      <c r="C205">
        <v>94799872</v>
      </c>
      <c r="D205">
        <v>37730053</v>
      </c>
      <c r="E205">
        <v>1</v>
      </c>
      <c r="F205">
        <v>1</v>
      </c>
      <c r="G205">
        <v>1</v>
      </c>
      <c r="H205">
        <v>3</v>
      </c>
      <c r="I205" t="s">
        <v>839</v>
      </c>
      <c r="J205" t="s">
        <v>840</v>
      </c>
      <c r="K205" t="s">
        <v>841</v>
      </c>
      <c r="L205">
        <v>1348</v>
      </c>
      <c r="N205">
        <v>1009</v>
      </c>
      <c r="O205" t="s">
        <v>170</v>
      </c>
      <c r="P205" t="s">
        <v>170</v>
      </c>
      <c r="Q205">
        <v>1000</v>
      </c>
      <c r="W205">
        <v>0</v>
      </c>
      <c r="X205">
        <v>-1280064888</v>
      </c>
      <c r="Y205">
        <f t="shared" si="65"/>
        <v>1.4999999999999999E-4</v>
      </c>
      <c r="AA205">
        <v>231948</v>
      </c>
      <c r="AB205">
        <v>0</v>
      </c>
      <c r="AC205">
        <v>0</v>
      </c>
      <c r="AD205">
        <v>0</v>
      </c>
      <c r="AE205">
        <v>37900</v>
      </c>
      <c r="AF205">
        <v>0</v>
      </c>
      <c r="AG205">
        <v>0</v>
      </c>
      <c r="AH205">
        <v>0</v>
      </c>
      <c r="AI205">
        <v>6.12</v>
      </c>
      <c r="AJ205">
        <v>1</v>
      </c>
      <c r="AK205">
        <v>1</v>
      </c>
      <c r="AL205">
        <v>1</v>
      </c>
      <c r="AM205">
        <v>2</v>
      </c>
      <c r="AN205">
        <v>0</v>
      </c>
      <c r="AO205">
        <v>1</v>
      </c>
      <c r="AP205">
        <v>1</v>
      </c>
      <c r="AQ205">
        <v>0</v>
      </c>
      <c r="AR205">
        <v>0</v>
      </c>
      <c r="AS205" t="s">
        <v>3</v>
      </c>
      <c r="AT205">
        <v>1.4999999999999999E-4</v>
      </c>
      <c r="AU205" t="s">
        <v>3</v>
      </c>
      <c r="AV205">
        <v>0</v>
      </c>
      <c r="AW205">
        <v>2</v>
      </c>
      <c r="AX205">
        <v>94799886</v>
      </c>
      <c r="AY205">
        <v>1</v>
      </c>
      <c r="AZ205">
        <v>0</v>
      </c>
      <c r="BA205">
        <v>205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V205">
        <v>0</v>
      </c>
      <c r="CW205">
        <v>0</v>
      </c>
      <c r="CX205">
        <f>ROUND(Y205*Source!I264,9)</f>
        <v>2.0250000000000001E-5</v>
      </c>
      <c r="CY205">
        <f t="shared" ref="CY205:CY220" si="90">AA205</f>
        <v>231948</v>
      </c>
      <c r="CZ205">
        <f t="shared" ref="CZ205:CZ220" si="91">AE205</f>
        <v>37900</v>
      </c>
      <c r="DA205">
        <f t="shared" ref="DA205:DA220" si="92">AI205</f>
        <v>6.12</v>
      </c>
      <c r="DB205">
        <f t="shared" si="66"/>
        <v>5.69</v>
      </c>
      <c r="DC205">
        <f t="shared" si="67"/>
        <v>0</v>
      </c>
      <c r="DD205" t="s">
        <v>3</v>
      </c>
      <c r="DE205" t="s">
        <v>3</v>
      </c>
      <c r="DF205">
        <f t="shared" ref="DF205:DF213" si="93">ROUND(ROUND(AE205*AI205,2)*CX205,2)</f>
        <v>4.7</v>
      </c>
      <c r="DG205">
        <f t="shared" ref="DG205:DG222" si="94">ROUND(ROUND(AF205,2)*CX205,2)</f>
        <v>0</v>
      </c>
      <c r="DH205">
        <f t="shared" ref="DH205:DH222" si="95">ROUND(ROUND(AG205,2)*CX205,2)</f>
        <v>0</v>
      </c>
      <c r="DI205">
        <f t="shared" si="83"/>
        <v>0</v>
      </c>
      <c r="DJ205">
        <f t="shared" ref="DJ205:DJ220" si="96">DF205</f>
        <v>4.7</v>
      </c>
      <c r="DK205">
        <v>0</v>
      </c>
      <c r="DL205" t="s">
        <v>3</v>
      </c>
      <c r="DM205">
        <v>0</v>
      </c>
      <c r="DN205" t="s">
        <v>3</v>
      </c>
      <c r="DO205">
        <v>0</v>
      </c>
    </row>
    <row r="206" spans="1:119" x14ac:dyDescent="0.2">
      <c r="A206">
        <f>ROW(Source!A264)</f>
        <v>264</v>
      </c>
      <c r="B206">
        <v>94798619</v>
      </c>
      <c r="C206">
        <v>94799872</v>
      </c>
      <c r="D206">
        <v>37729659</v>
      </c>
      <c r="E206">
        <v>1</v>
      </c>
      <c r="F206">
        <v>1</v>
      </c>
      <c r="G206">
        <v>1</v>
      </c>
      <c r="H206">
        <v>3</v>
      </c>
      <c r="I206" t="s">
        <v>187</v>
      </c>
      <c r="J206" t="s">
        <v>189</v>
      </c>
      <c r="K206" t="s">
        <v>188</v>
      </c>
      <c r="L206">
        <v>1339</v>
      </c>
      <c r="N206">
        <v>1007</v>
      </c>
      <c r="O206" t="s">
        <v>52</v>
      </c>
      <c r="P206" t="s">
        <v>52</v>
      </c>
      <c r="Q206">
        <v>1</v>
      </c>
      <c r="W206">
        <v>0</v>
      </c>
      <c r="X206">
        <v>-821751618</v>
      </c>
      <c r="Y206">
        <f t="shared" si="65"/>
        <v>2.98</v>
      </c>
      <c r="AA206">
        <v>118.62</v>
      </c>
      <c r="AB206">
        <v>0</v>
      </c>
      <c r="AC206">
        <v>0</v>
      </c>
      <c r="AD206">
        <v>0</v>
      </c>
      <c r="AE206">
        <v>6.22</v>
      </c>
      <c r="AF206">
        <v>0</v>
      </c>
      <c r="AG206">
        <v>0</v>
      </c>
      <c r="AH206">
        <v>0</v>
      </c>
      <c r="AI206">
        <v>19.07</v>
      </c>
      <c r="AJ206">
        <v>1</v>
      </c>
      <c r="AK206">
        <v>1</v>
      </c>
      <c r="AL206">
        <v>1</v>
      </c>
      <c r="AM206">
        <v>2</v>
      </c>
      <c r="AN206">
        <v>0</v>
      </c>
      <c r="AO206">
        <v>1</v>
      </c>
      <c r="AP206">
        <v>1</v>
      </c>
      <c r="AQ206">
        <v>0</v>
      </c>
      <c r="AR206">
        <v>0</v>
      </c>
      <c r="AS206" t="s">
        <v>3</v>
      </c>
      <c r="AT206">
        <v>2.98</v>
      </c>
      <c r="AU206" t="s">
        <v>3</v>
      </c>
      <c r="AV206">
        <v>0</v>
      </c>
      <c r="AW206">
        <v>2</v>
      </c>
      <c r="AX206">
        <v>94799887</v>
      </c>
      <c r="AY206">
        <v>1</v>
      </c>
      <c r="AZ206">
        <v>0</v>
      </c>
      <c r="BA206">
        <v>206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V206">
        <v>0</v>
      </c>
      <c r="CW206">
        <v>0</v>
      </c>
      <c r="CX206">
        <f>ROUND(Y206*Source!I264,9)</f>
        <v>0.40229999999999999</v>
      </c>
      <c r="CY206">
        <f t="shared" si="90"/>
        <v>118.62</v>
      </c>
      <c r="CZ206">
        <f t="shared" si="91"/>
        <v>6.22</v>
      </c>
      <c r="DA206">
        <f t="shared" si="92"/>
        <v>19.07</v>
      </c>
      <c r="DB206">
        <f t="shared" si="66"/>
        <v>18.54</v>
      </c>
      <c r="DC206">
        <f t="shared" si="67"/>
        <v>0</v>
      </c>
      <c r="DD206" t="s">
        <v>3</v>
      </c>
      <c r="DE206" t="s">
        <v>3</v>
      </c>
      <c r="DF206">
        <f t="shared" si="93"/>
        <v>47.72</v>
      </c>
      <c r="DG206">
        <f t="shared" si="94"/>
        <v>0</v>
      </c>
      <c r="DH206">
        <f t="shared" si="95"/>
        <v>0</v>
      </c>
      <c r="DI206">
        <f t="shared" si="83"/>
        <v>0</v>
      </c>
      <c r="DJ206">
        <f t="shared" si="96"/>
        <v>47.72</v>
      </c>
      <c r="DK206">
        <v>0</v>
      </c>
      <c r="DL206" t="s">
        <v>3</v>
      </c>
      <c r="DM206">
        <v>0</v>
      </c>
      <c r="DN206" t="s">
        <v>3</v>
      </c>
      <c r="DO206">
        <v>0</v>
      </c>
    </row>
    <row r="207" spans="1:119" x14ac:dyDescent="0.2">
      <c r="A207">
        <f>ROW(Source!A264)</f>
        <v>264</v>
      </c>
      <c r="B207">
        <v>94798619</v>
      </c>
      <c r="C207">
        <v>94799872</v>
      </c>
      <c r="D207">
        <v>37736264</v>
      </c>
      <c r="E207">
        <v>1</v>
      </c>
      <c r="F207">
        <v>1</v>
      </c>
      <c r="G207">
        <v>1</v>
      </c>
      <c r="H207">
        <v>3</v>
      </c>
      <c r="I207" t="s">
        <v>842</v>
      </c>
      <c r="J207" t="s">
        <v>843</v>
      </c>
      <c r="K207" t="s">
        <v>844</v>
      </c>
      <c r="L207">
        <v>1348</v>
      </c>
      <c r="N207">
        <v>1009</v>
      </c>
      <c r="O207" t="s">
        <v>170</v>
      </c>
      <c r="P207" t="s">
        <v>170</v>
      </c>
      <c r="Q207">
        <v>1000</v>
      </c>
      <c r="W207">
        <v>0</v>
      </c>
      <c r="X207">
        <v>1941264678</v>
      </c>
      <c r="Y207">
        <f t="shared" si="65"/>
        <v>4.0000000000000003E-5</v>
      </c>
      <c r="AA207">
        <v>31452.3</v>
      </c>
      <c r="AB207">
        <v>0</v>
      </c>
      <c r="AC207">
        <v>0</v>
      </c>
      <c r="AD207">
        <v>0</v>
      </c>
      <c r="AE207">
        <v>4455</v>
      </c>
      <c r="AF207">
        <v>0</v>
      </c>
      <c r="AG207">
        <v>0</v>
      </c>
      <c r="AH207">
        <v>0</v>
      </c>
      <c r="AI207">
        <v>7.06</v>
      </c>
      <c r="AJ207">
        <v>1</v>
      </c>
      <c r="AK207">
        <v>1</v>
      </c>
      <c r="AL207">
        <v>1</v>
      </c>
      <c r="AM207">
        <v>2</v>
      </c>
      <c r="AN207">
        <v>0</v>
      </c>
      <c r="AO207">
        <v>1</v>
      </c>
      <c r="AP207">
        <v>1</v>
      </c>
      <c r="AQ207">
        <v>0</v>
      </c>
      <c r="AR207">
        <v>0</v>
      </c>
      <c r="AS207" t="s">
        <v>3</v>
      </c>
      <c r="AT207">
        <v>4.0000000000000003E-5</v>
      </c>
      <c r="AU207" t="s">
        <v>3</v>
      </c>
      <c r="AV207">
        <v>0</v>
      </c>
      <c r="AW207">
        <v>2</v>
      </c>
      <c r="AX207">
        <v>94799888</v>
      </c>
      <c r="AY207">
        <v>1</v>
      </c>
      <c r="AZ207">
        <v>0</v>
      </c>
      <c r="BA207">
        <v>207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V207">
        <v>0</v>
      </c>
      <c r="CW207">
        <v>0</v>
      </c>
      <c r="CX207">
        <f>ROUND(Y207*Source!I264,9)</f>
        <v>5.4E-6</v>
      </c>
      <c r="CY207">
        <f t="shared" si="90"/>
        <v>31452.3</v>
      </c>
      <c r="CZ207">
        <f t="shared" si="91"/>
        <v>4455</v>
      </c>
      <c r="DA207">
        <f t="shared" si="92"/>
        <v>7.06</v>
      </c>
      <c r="DB207">
        <f t="shared" si="66"/>
        <v>0.18</v>
      </c>
      <c r="DC207">
        <f t="shared" si="67"/>
        <v>0</v>
      </c>
      <c r="DD207" t="s">
        <v>3</v>
      </c>
      <c r="DE207" t="s">
        <v>3</v>
      </c>
      <c r="DF207">
        <f t="shared" si="93"/>
        <v>0.17</v>
      </c>
      <c r="DG207">
        <f t="shared" si="94"/>
        <v>0</v>
      </c>
      <c r="DH207">
        <f t="shared" si="95"/>
        <v>0</v>
      </c>
      <c r="DI207">
        <f t="shared" si="83"/>
        <v>0</v>
      </c>
      <c r="DJ207">
        <f t="shared" si="96"/>
        <v>0.17</v>
      </c>
      <c r="DK207">
        <v>0</v>
      </c>
      <c r="DL207" t="s">
        <v>3</v>
      </c>
      <c r="DM207">
        <v>0</v>
      </c>
      <c r="DN207" t="s">
        <v>3</v>
      </c>
      <c r="DO207">
        <v>0</v>
      </c>
    </row>
    <row r="208" spans="1:119" x14ac:dyDescent="0.2">
      <c r="A208">
        <f>ROW(Source!A264)</f>
        <v>264</v>
      </c>
      <c r="B208">
        <v>94798619</v>
      </c>
      <c r="C208">
        <v>94799872</v>
      </c>
      <c r="D208">
        <v>37736447</v>
      </c>
      <c r="E208">
        <v>1</v>
      </c>
      <c r="F208">
        <v>1</v>
      </c>
      <c r="G208">
        <v>1</v>
      </c>
      <c r="H208">
        <v>3</v>
      </c>
      <c r="I208" t="s">
        <v>845</v>
      </c>
      <c r="J208" t="s">
        <v>846</v>
      </c>
      <c r="K208" t="s">
        <v>847</v>
      </c>
      <c r="L208">
        <v>1348</v>
      </c>
      <c r="N208">
        <v>1009</v>
      </c>
      <c r="O208" t="s">
        <v>170</v>
      </c>
      <c r="P208" t="s">
        <v>170</v>
      </c>
      <c r="Q208">
        <v>1000</v>
      </c>
      <c r="W208">
        <v>0</v>
      </c>
      <c r="X208">
        <v>-833443196</v>
      </c>
      <c r="Y208">
        <f t="shared" si="65"/>
        <v>2.97E-3</v>
      </c>
      <c r="AA208">
        <v>72674</v>
      </c>
      <c r="AB208">
        <v>0</v>
      </c>
      <c r="AC208">
        <v>0</v>
      </c>
      <c r="AD208">
        <v>0</v>
      </c>
      <c r="AE208">
        <v>5191</v>
      </c>
      <c r="AF208">
        <v>0</v>
      </c>
      <c r="AG208">
        <v>0</v>
      </c>
      <c r="AH208">
        <v>0</v>
      </c>
      <c r="AI208">
        <v>14</v>
      </c>
      <c r="AJ208">
        <v>1</v>
      </c>
      <c r="AK208">
        <v>1</v>
      </c>
      <c r="AL208">
        <v>1</v>
      </c>
      <c r="AM208">
        <v>2</v>
      </c>
      <c r="AN208">
        <v>0</v>
      </c>
      <c r="AO208">
        <v>1</v>
      </c>
      <c r="AP208">
        <v>1</v>
      </c>
      <c r="AQ208">
        <v>0</v>
      </c>
      <c r="AR208">
        <v>0</v>
      </c>
      <c r="AS208" t="s">
        <v>3</v>
      </c>
      <c r="AT208">
        <v>2.97E-3</v>
      </c>
      <c r="AU208" t="s">
        <v>3</v>
      </c>
      <c r="AV208">
        <v>0</v>
      </c>
      <c r="AW208">
        <v>2</v>
      </c>
      <c r="AX208">
        <v>94799889</v>
      </c>
      <c r="AY208">
        <v>1</v>
      </c>
      <c r="AZ208">
        <v>0</v>
      </c>
      <c r="BA208">
        <v>208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V208">
        <v>0</v>
      </c>
      <c r="CW208">
        <v>0</v>
      </c>
      <c r="CX208">
        <f>ROUND(Y208*Source!I264,9)</f>
        <v>4.0095000000000002E-4</v>
      </c>
      <c r="CY208">
        <f t="shared" si="90"/>
        <v>72674</v>
      </c>
      <c r="CZ208">
        <f t="shared" si="91"/>
        <v>5191</v>
      </c>
      <c r="DA208">
        <f t="shared" si="92"/>
        <v>14</v>
      </c>
      <c r="DB208">
        <f t="shared" si="66"/>
        <v>15.42</v>
      </c>
      <c r="DC208">
        <f t="shared" si="67"/>
        <v>0</v>
      </c>
      <c r="DD208" t="s">
        <v>3</v>
      </c>
      <c r="DE208" t="s">
        <v>3</v>
      </c>
      <c r="DF208">
        <f t="shared" si="93"/>
        <v>29.14</v>
      </c>
      <c r="DG208">
        <f t="shared" si="94"/>
        <v>0</v>
      </c>
      <c r="DH208">
        <f t="shared" si="95"/>
        <v>0</v>
      </c>
      <c r="DI208">
        <f t="shared" si="83"/>
        <v>0</v>
      </c>
      <c r="DJ208">
        <f t="shared" si="96"/>
        <v>29.14</v>
      </c>
      <c r="DK208">
        <v>0</v>
      </c>
      <c r="DL208" t="s">
        <v>3</v>
      </c>
      <c r="DM208">
        <v>0</v>
      </c>
      <c r="DN208" t="s">
        <v>3</v>
      </c>
      <c r="DO208">
        <v>0</v>
      </c>
    </row>
    <row r="209" spans="1:119" x14ac:dyDescent="0.2">
      <c r="A209">
        <f>ROW(Source!A264)</f>
        <v>264</v>
      </c>
      <c r="B209">
        <v>94798619</v>
      </c>
      <c r="C209">
        <v>94799872</v>
      </c>
      <c r="D209">
        <v>37736609</v>
      </c>
      <c r="E209">
        <v>1</v>
      </c>
      <c r="F209">
        <v>1</v>
      </c>
      <c r="G209">
        <v>1</v>
      </c>
      <c r="H209">
        <v>3</v>
      </c>
      <c r="I209" t="s">
        <v>912</v>
      </c>
      <c r="J209" t="s">
        <v>913</v>
      </c>
      <c r="K209" t="s">
        <v>914</v>
      </c>
      <c r="L209">
        <v>1348</v>
      </c>
      <c r="N209">
        <v>1009</v>
      </c>
      <c r="O209" t="s">
        <v>170</v>
      </c>
      <c r="P209" t="s">
        <v>170</v>
      </c>
      <c r="Q209">
        <v>1000</v>
      </c>
      <c r="W209">
        <v>0</v>
      </c>
      <c r="X209">
        <v>1483167196</v>
      </c>
      <c r="Y209">
        <f t="shared" si="65"/>
        <v>3.3999999999999998E-3</v>
      </c>
      <c r="AA209">
        <v>119730</v>
      </c>
      <c r="AB209">
        <v>0</v>
      </c>
      <c r="AC209">
        <v>0</v>
      </c>
      <c r="AD209">
        <v>0</v>
      </c>
      <c r="AE209">
        <v>9750</v>
      </c>
      <c r="AF209">
        <v>0</v>
      </c>
      <c r="AG209">
        <v>0</v>
      </c>
      <c r="AH209">
        <v>0</v>
      </c>
      <c r="AI209">
        <v>12.28</v>
      </c>
      <c r="AJ209">
        <v>1</v>
      </c>
      <c r="AK209">
        <v>1</v>
      </c>
      <c r="AL209">
        <v>1</v>
      </c>
      <c r="AM209">
        <v>2</v>
      </c>
      <c r="AN209">
        <v>0</v>
      </c>
      <c r="AO209">
        <v>1</v>
      </c>
      <c r="AP209">
        <v>1</v>
      </c>
      <c r="AQ209">
        <v>0</v>
      </c>
      <c r="AR209">
        <v>0</v>
      </c>
      <c r="AS209" t="s">
        <v>3</v>
      </c>
      <c r="AT209">
        <v>3.3999999999999998E-3</v>
      </c>
      <c r="AU209" t="s">
        <v>3</v>
      </c>
      <c r="AV209">
        <v>0</v>
      </c>
      <c r="AW209">
        <v>2</v>
      </c>
      <c r="AX209">
        <v>94799890</v>
      </c>
      <c r="AY209">
        <v>1</v>
      </c>
      <c r="AZ209">
        <v>0</v>
      </c>
      <c r="BA209">
        <v>209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V209">
        <v>0</v>
      </c>
      <c r="CW209">
        <v>0</v>
      </c>
      <c r="CX209">
        <f>ROUND(Y209*Source!I264,9)</f>
        <v>4.5899999999999999E-4</v>
      </c>
      <c r="CY209">
        <f t="shared" si="90"/>
        <v>119730</v>
      </c>
      <c r="CZ209">
        <f t="shared" si="91"/>
        <v>9750</v>
      </c>
      <c r="DA209">
        <f t="shared" si="92"/>
        <v>12.28</v>
      </c>
      <c r="DB209">
        <f t="shared" si="66"/>
        <v>33.15</v>
      </c>
      <c r="DC209">
        <f t="shared" si="67"/>
        <v>0</v>
      </c>
      <c r="DD209" t="s">
        <v>3</v>
      </c>
      <c r="DE209" t="s">
        <v>3</v>
      </c>
      <c r="DF209">
        <f t="shared" si="93"/>
        <v>54.96</v>
      </c>
      <c r="DG209">
        <f t="shared" si="94"/>
        <v>0</v>
      </c>
      <c r="DH209">
        <f t="shared" si="95"/>
        <v>0</v>
      </c>
      <c r="DI209">
        <f t="shared" si="83"/>
        <v>0</v>
      </c>
      <c r="DJ209">
        <f t="shared" si="96"/>
        <v>54.96</v>
      </c>
      <c r="DK209">
        <v>0</v>
      </c>
      <c r="DL209" t="s">
        <v>3</v>
      </c>
      <c r="DM209">
        <v>0</v>
      </c>
      <c r="DN209" t="s">
        <v>3</v>
      </c>
      <c r="DO209">
        <v>0</v>
      </c>
    </row>
    <row r="210" spans="1:119" x14ac:dyDescent="0.2">
      <c r="A210">
        <f>ROW(Source!A264)</f>
        <v>264</v>
      </c>
      <c r="B210">
        <v>94798619</v>
      </c>
      <c r="C210">
        <v>94799872</v>
      </c>
      <c r="D210">
        <v>37736859</v>
      </c>
      <c r="E210">
        <v>1</v>
      </c>
      <c r="F210">
        <v>1</v>
      </c>
      <c r="G210">
        <v>1</v>
      </c>
      <c r="H210">
        <v>3</v>
      </c>
      <c r="I210" t="s">
        <v>252</v>
      </c>
      <c r="J210" t="s">
        <v>254</v>
      </c>
      <c r="K210" t="s">
        <v>253</v>
      </c>
      <c r="L210">
        <v>1348</v>
      </c>
      <c r="N210">
        <v>1009</v>
      </c>
      <c r="O210" t="s">
        <v>170</v>
      </c>
      <c r="P210" t="s">
        <v>170</v>
      </c>
      <c r="Q210">
        <v>1000</v>
      </c>
      <c r="W210">
        <v>0</v>
      </c>
      <c r="X210">
        <v>-384985709</v>
      </c>
      <c r="Y210">
        <f t="shared" si="65"/>
        <v>7.0000000000000001E-3</v>
      </c>
      <c r="AA210">
        <v>208824.23</v>
      </c>
      <c r="AB210">
        <v>0</v>
      </c>
      <c r="AC210">
        <v>0</v>
      </c>
      <c r="AD210">
        <v>0</v>
      </c>
      <c r="AE210">
        <v>9040.01</v>
      </c>
      <c r="AF210">
        <v>0</v>
      </c>
      <c r="AG210">
        <v>0</v>
      </c>
      <c r="AH210">
        <v>0</v>
      </c>
      <c r="AI210">
        <v>23.1</v>
      </c>
      <c r="AJ210">
        <v>1</v>
      </c>
      <c r="AK210">
        <v>1</v>
      </c>
      <c r="AL210">
        <v>1</v>
      </c>
      <c r="AM210">
        <v>2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3</v>
      </c>
      <c r="AT210">
        <v>7.0000000000000001E-3</v>
      </c>
      <c r="AU210" t="s">
        <v>3</v>
      </c>
      <c r="AV210">
        <v>0</v>
      </c>
      <c r="AW210">
        <v>2</v>
      </c>
      <c r="AX210">
        <v>94799891</v>
      </c>
      <c r="AY210">
        <v>1</v>
      </c>
      <c r="AZ210">
        <v>0</v>
      </c>
      <c r="BA210">
        <v>210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V210">
        <v>0</v>
      </c>
      <c r="CW210">
        <v>0</v>
      </c>
      <c r="CX210">
        <f>ROUND(Y210*Source!I264,9)</f>
        <v>9.4499999999999998E-4</v>
      </c>
      <c r="CY210">
        <f t="shared" si="90"/>
        <v>208824.23</v>
      </c>
      <c r="CZ210">
        <f t="shared" si="91"/>
        <v>9040.01</v>
      </c>
      <c r="DA210">
        <f t="shared" si="92"/>
        <v>23.1</v>
      </c>
      <c r="DB210">
        <f t="shared" si="66"/>
        <v>63.28</v>
      </c>
      <c r="DC210">
        <f t="shared" si="67"/>
        <v>0</v>
      </c>
      <c r="DD210" t="s">
        <v>3</v>
      </c>
      <c r="DE210" t="s">
        <v>3</v>
      </c>
      <c r="DF210">
        <f t="shared" si="93"/>
        <v>197.34</v>
      </c>
      <c r="DG210">
        <f t="shared" si="94"/>
        <v>0</v>
      </c>
      <c r="DH210">
        <f t="shared" si="95"/>
        <v>0</v>
      </c>
      <c r="DI210">
        <f t="shared" si="83"/>
        <v>0</v>
      </c>
      <c r="DJ210">
        <f t="shared" si="96"/>
        <v>197.34</v>
      </c>
      <c r="DK210">
        <v>0</v>
      </c>
      <c r="DL210" t="s">
        <v>3</v>
      </c>
      <c r="DM210">
        <v>0</v>
      </c>
      <c r="DN210" t="s">
        <v>3</v>
      </c>
      <c r="DO210">
        <v>0</v>
      </c>
    </row>
    <row r="211" spans="1:119" x14ac:dyDescent="0.2">
      <c r="A211">
        <f>ROW(Source!A264)</f>
        <v>264</v>
      </c>
      <c r="B211">
        <v>94798619</v>
      </c>
      <c r="C211">
        <v>94799872</v>
      </c>
      <c r="D211">
        <v>37736933</v>
      </c>
      <c r="E211">
        <v>1</v>
      </c>
      <c r="F211">
        <v>1</v>
      </c>
      <c r="G211">
        <v>1</v>
      </c>
      <c r="H211">
        <v>3</v>
      </c>
      <c r="I211" t="s">
        <v>851</v>
      </c>
      <c r="J211" t="s">
        <v>852</v>
      </c>
      <c r="K211" t="s">
        <v>853</v>
      </c>
      <c r="L211">
        <v>1348</v>
      </c>
      <c r="N211">
        <v>1009</v>
      </c>
      <c r="O211" t="s">
        <v>170</v>
      </c>
      <c r="P211" t="s">
        <v>170</v>
      </c>
      <c r="Q211">
        <v>1000</v>
      </c>
      <c r="W211">
        <v>0</v>
      </c>
      <c r="X211">
        <v>-667930777</v>
      </c>
      <c r="Y211">
        <f t="shared" si="65"/>
        <v>2.0000000000000002E-5</v>
      </c>
      <c r="AA211">
        <v>111120.24</v>
      </c>
      <c r="AB211">
        <v>0</v>
      </c>
      <c r="AC211">
        <v>0</v>
      </c>
      <c r="AD211">
        <v>0</v>
      </c>
      <c r="AE211">
        <v>12936</v>
      </c>
      <c r="AF211">
        <v>0</v>
      </c>
      <c r="AG211">
        <v>0</v>
      </c>
      <c r="AH211">
        <v>0</v>
      </c>
      <c r="AI211">
        <v>8.59</v>
      </c>
      <c r="AJ211">
        <v>1</v>
      </c>
      <c r="AK211">
        <v>1</v>
      </c>
      <c r="AL211">
        <v>1</v>
      </c>
      <c r="AM211">
        <v>2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3</v>
      </c>
      <c r="AT211">
        <v>2.0000000000000002E-5</v>
      </c>
      <c r="AU211" t="s">
        <v>3</v>
      </c>
      <c r="AV211">
        <v>0</v>
      </c>
      <c r="AW211">
        <v>2</v>
      </c>
      <c r="AX211">
        <v>94799892</v>
      </c>
      <c r="AY211">
        <v>1</v>
      </c>
      <c r="AZ211">
        <v>0</v>
      </c>
      <c r="BA211">
        <v>211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V211">
        <v>0</v>
      </c>
      <c r="CW211">
        <v>0</v>
      </c>
      <c r="CX211">
        <f>ROUND(Y211*Source!I264,9)</f>
        <v>2.7E-6</v>
      </c>
      <c r="CY211">
        <f t="shared" si="90"/>
        <v>111120.24</v>
      </c>
      <c r="CZ211">
        <f t="shared" si="91"/>
        <v>12936</v>
      </c>
      <c r="DA211">
        <f t="shared" si="92"/>
        <v>8.59</v>
      </c>
      <c r="DB211">
        <f t="shared" si="66"/>
        <v>0.26</v>
      </c>
      <c r="DC211">
        <f t="shared" si="67"/>
        <v>0</v>
      </c>
      <c r="DD211" t="s">
        <v>3</v>
      </c>
      <c r="DE211" t="s">
        <v>3</v>
      </c>
      <c r="DF211">
        <f t="shared" si="93"/>
        <v>0.3</v>
      </c>
      <c r="DG211">
        <f t="shared" si="94"/>
        <v>0</v>
      </c>
      <c r="DH211">
        <f t="shared" si="95"/>
        <v>0</v>
      </c>
      <c r="DI211">
        <f t="shared" si="83"/>
        <v>0</v>
      </c>
      <c r="DJ211">
        <f t="shared" si="96"/>
        <v>0.3</v>
      </c>
      <c r="DK211">
        <v>0</v>
      </c>
      <c r="DL211" t="s">
        <v>3</v>
      </c>
      <c r="DM211">
        <v>0</v>
      </c>
      <c r="DN211" t="s">
        <v>3</v>
      </c>
      <c r="DO211">
        <v>0</v>
      </c>
    </row>
    <row r="212" spans="1:119" x14ac:dyDescent="0.2">
      <c r="A212">
        <f>ROW(Source!A264)</f>
        <v>264</v>
      </c>
      <c r="B212">
        <v>94798619</v>
      </c>
      <c r="C212">
        <v>94799872</v>
      </c>
      <c r="D212">
        <v>37729662</v>
      </c>
      <c r="E212">
        <v>1</v>
      </c>
      <c r="F212">
        <v>1</v>
      </c>
      <c r="G212">
        <v>1</v>
      </c>
      <c r="H212">
        <v>3</v>
      </c>
      <c r="I212" t="s">
        <v>812</v>
      </c>
      <c r="J212" t="s">
        <v>813</v>
      </c>
      <c r="K212" t="s">
        <v>814</v>
      </c>
      <c r="L212">
        <v>1346</v>
      </c>
      <c r="N212">
        <v>1009</v>
      </c>
      <c r="O212" t="s">
        <v>192</v>
      </c>
      <c r="P212" t="s">
        <v>192</v>
      </c>
      <c r="Q212">
        <v>1</v>
      </c>
      <c r="W212">
        <v>0</v>
      </c>
      <c r="X212">
        <v>873943321</v>
      </c>
      <c r="Y212">
        <f t="shared" si="65"/>
        <v>0.90300000000000002</v>
      </c>
      <c r="AA212">
        <v>53.09</v>
      </c>
      <c r="AB212">
        <v>0</v>
      </c>
      <c r="AC212">
        <v>0</v>
      </c>
      <c r="AD212">
        <v>0</v>
      </c>
      <c r="AE212">
        <v>6.62</v>
      </c>
      <c r="AF212">
        <v>0</v>
      </c>
      <c r="AG212">
        <v>0</v>
      </c>
      <c r="AH212">
        <v>0</v>
      </c>
      <c r="AI212">
        <v>8.02</v>
      </c>
      <c r="AJ212">
        <v>1</v>
      </c>
      <c r="AK212">
        <v>1</v>
      </c>
      <c r="AL212">
        <v>1</v>
      </c>
      <c r="AM212">
        <v>2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3</v>
      </c>
      <c r="AT212">
        <v>0.90300000000000002</v>
      </c>
      <c r="AU212" t="s">
        <v>3</v>
      </c>
      <c r="AV212">
        <v>0</v>
      </c>
      <c r="AW212">
        <v>2</v>
      </c>
      <c r="AX212">
        <v>94799893</v>
      </c>
      <c r="AY212">
        <v>1</v>
      </c>
      <c r="AZ212">
        <v>0</v>
      </c>
      <c r="BA212">
        <v>212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V212">
        <v>0</v>
      </c>
      <c r="CW212">
        <v>0</v>
      </c>
      <c r="CX212">
        <f>ROUND(Y212*Source!I264,9)</f>
        <v>0.121905</v>
      </c>
      <c r="CY212">
        <f t="shared" si="90"/>
        <v>53.09</v>
      </c>
      <c r="CZ212">
        <f t="shared" si="91"/>
        <v>6.62</v>
      </c>
      <c r="DA212">
        <f t="shared" si="92"/>
        <v>8.02</v>
      </c>
      <c r="DB212">
        <f t="shared" si="66"/>
        <v>5.98</v>
      </c>
      <c r="DC212">
        <f t="shared" si="67"/>
        <v>0</v>
      </c>
      <c r="DD212" t="s">
        <v>3</v>
      </c>
      <c r="DE212" t="s">
        <v>3</v>
      </c>
      <c r="DF212">
        <f t="shared" si="93"/>
        <v>6.47</v>
      </c>
      <c r="DG212">
        <f t="shared" si="94"/>
        <v>0</v>
      </c>
      <c r="DH212">
        <f t="shared" si="95"/>
        <v>0</v>
      </c>
      <c r="DI212">
        <f t="shared" si="83"/>
        <v>0</v>
      </c>
      <c r="DJ212">
        <f t="shared" si="96"/>
        <v>6.47</v>
      </c>
      <c r="DK212">
        <v>0</v>
      </c>
      <c r="DL212" t="s">
        <v>3</v>
      </c>
      <c r="DM212">
        <v>0</v>
      </c>
      <c r="DN212" t="s">
        <v>3</v>
      </c>
      <c r="DO212">
        <v>0</v>
      </c>
    </row>
    <row r="213" spans="1:119" x14ac:dyDescent="0.2">
      <c r="A213">
        <f>ROW(Source!A264)</f>
        <v>264</v>
      </c>
      <c r="B213">
        <v>94798619</v>
      </c>
      <c r="C213">
        <v>94799872</v>
      </c>
      <c r="D213">
        <v>37732807</v>
      </c>
      <c r="E213">
        <v>1</v>
      </c>
      <c r="F213">
        <v>1</v>
      </c>
      <c r="G213">
        <v>1</v>
      </c>
      <c r="H213">
        <v>3</v>
      </c>
      <c r="I213" t="s">
        <v>854</v>
      </c>
      <c r="J213" t="s">
        <v>855</v>
      </c>
      <c r="K213" t="s">
        <v>856</v>
      </c>
      <c r="L213">
        <v>1348</v>
      </c>
      <c r="N213">
        <v>1009</v>
      </c>
      <c r="O213" t="s">
        <v>170</v>
      </c>
      <c r="P213" t="s">
        <v>170</v>
      </c>
      <c r="Q213">
        <v>1000</v>
      </c>
      <c r="W213">
        <v>0</v>
      </c>
      <c r="X213">
        <v>-250432139</v>
      </c>
      <c r="Y213">
        <f t="shared" si="65"/>
        <v>9.0000000000000006E-5</v>
      </c>
      <c r="AA213">
        <v>72063</v>
      </c>
      <c r="AB213">
        <v>0</v>
      </c>
      <c r="AC213">
        <v>0</v>
      </c>
      <c r="AD213">
        <v>0</v>
      </c>
      <c r="AE213">
        <v>9420</v>
      </c>
      <c r="AF213">
        <v>0</v>
      </c>
      <c r="AG213">
        <v>0</v>
      </c>
      <c r="AH213">
        <v>0</v>
      </c>
      <c r="AI213">
        <v>7.65</v>
      </c>
      <c r="AJ213">
        <v>1</v>
      </c>
      <c r="AK213">
        <v>1</v>
      </c>
      <c r="AL213">
        <v>1</v>
      </c>
      <c r="AM213">
        <v>2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3</v>
      </c>
      <c r="AT213">
        <v>9.0000000000000006E-5</v>
      </c>
      <c r="AU213" t="s">
        <v>3</v>
      </c>
      <c r="AV213">
        <v>0</v>
      </c>
      <c r="AW213">
        <v>2</v>
      </c>
      <c r="AX213">
        <v>94799894</v>
      </c>
      <c r="AY213">
        <v>1</v>
      </c>
      <c r="AZ213">
        <v>0</v>
      </c>
      <c r="BA213">
        <v>213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V213">
        <v>0</v>
      </c>
      <c r="CW213">
        <v>0</v>
      </c>
      <c r="CX213">
        <f>ROUND(Y213*Source!I264,9)</f>
        <v>1.2150000000000001E-5</v>
      </c>
      <c r="CY213">
        <f t="shared" si="90"/>
        <v>72063</v>
      </c>
      <c r="CZ213">
        <f t="shared" si="91"/>
        <v>9420</v>
      </c>
      <c r="DA213">
        <f t="shared" si="92"/>
        <v>7.65</v>
      </c>
      <c r="DB213">
        <f t="shared" si="66"/>
        <v>0.85</v>
      </c>
      <c r="DC213">
        <f t="shared" si="67"/>
        <v>0</v>
      </c>
      <c r="DD213" t="s">
        <v>3</v>
      </c>
      <c r="DE213" t="s">
        <v>3</v>
      </c>
      <c r="DF213">
        <f t="shared" si="93"/>
        <v>0.88</v>
      </c>
      <c r="DG213">
        <f t="shared" si="94"/>
        <v>0</v>
      </c>
      <c r="DH213">
        <f t="shared" si="95"/>
        <v>0</v>
      </c>
      <c r="DI213">
        <f t="shared" si="83"/>
        <v>0</v>
      </c>
      <c r="DJ213">
        <f t="shared" si="96"/>
        <v>0.88</v>
      </c>
      <c r="DK213">
        <v>0</v>
      </c>
      <c r="DL213" t="s">
        <v>3</v>
      </c>
      <c r="DM213">
        <v>0</v>
      </c>
      <c r="DN213" t="s">
        <v>3</v>
      </c>
      <c r="DO213">
        <v>0</v>
      </c>
    </row>
    <row r="214" spans="1:119" x14ac:dyDescent="0.2">
      <c r="A214">
        <f>ROW(Source!A264)</f>
        <v>264</v>
      </c>
      <c r="B214">
        <v>94798619</v>
      </c>
      <c r="C214">
        <v>94799872</v>
      </c>
      <c r="D214">
        <v>37735514</v>
      </c>
      <c r="E214">
        <v>1</v>
      </c>
      <c r="F214">
        <v>1</v>
      </c>
      <c r="G214">
        <v>1</v>
      </c>
      <c r="H214">
        <v>3</v>
      </c>
      <c r="I214" t="s">
        <v>376</v>
      </c>
      <c r="J214" t="s">
        <v>378</v>
      </c>
      <c r="K214" t="s">
        <v>377</v>
      </c>
      <c r="L214">
        <v>1348</v>
      </c>
      <c r="N214">
        <v>1009</v>
      </c>
      <c r="O214" t="s">
        <v>170</v>
      </c>
      <c r="P214" t="s">
        <v>170</v>
      </c>
      <c r="Q214">
        <v>1000</v>
      </c>
      <c r="W214">
        <v>0</v>
      </c>
      <c r="X214">
        <v>1958438708</v>
      </c>
      <c r="Y214">
        <f t="shared" si="65"/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M214">
        <v>0</v>
      </c>
      <c r="AN214">
        <v>1</v>
      </c>
      <c r="AO214">
        <v>0</v>
      </c>
      <c r="AP214">
        <v>1</v>
      </c>
      <c r="AQ214">
        <v>0</v>
      </c>
      <c r="AR214">
        <v>0</v>
      </c>
      <c r="AS214" t="s">
        <v>3</v>
      </c>
      <c r="AT214">
        <v>0</v>
      </c>
      <c r="AU214" t="s">
        <v>3</v>
      </c>
      <c r="AV214">
        <v>0</v>
      </c>
      <c r="AW214">
        <v>2</v>
      </c>
      <c r="AX214">
        <v>94799895</v>
      </c>
      <c r="AY214">
        <v>1</v>
      </c>
      <c r="AZ214">
        <v>0</v>
      </c>
      <c r="BA214">
        <v>214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V214">
        <v>0</v>
      </c>
      <c r="CW214">
        <v>0</v>
      </c>
      <c r="CX214">
        <f>ROUND(Y214*Source!I264,9)</f>
        <v>0</v>
      </c>
      <c r="CY214">
        <f t="shared" si="90"/>
        <v>0</v>
      </c>
      <c r="CZ214">
        <f t="shared" si="91"/>
        <v>0</v>
      </c>
      <c r="DA214">
        <f t="shared" si="92"/>
        <v>1</v>
      </c>
      <c r="DB214">
        <f t="shared" si="66"/>
        <v>0</v>
      </c>
      <c r="DC214">
        <f t="shared" si="67"/>
        <v>0</v>
      </c>
      <c r="DD214" t="s">
        <v>3</v>
      </c>
      <c r="DE214" t="s">
        <v>3</v>
      </c>
      <c r="DF214">
        <f>ROUND(ROUND(AE214,2)*CX214,2)</f>
        <v>0</v>
      </c>
      <c r="DG214">
        <f t="shared" si="94"/>
        <v>0</v>
      </c>
      <c r="DH214">
        <f t="shared" si="95"/>
        <v>0</v>
      </c>
      <c r="DI214">
        <f t="shared" si="83"/>
        <v>0</v>
      </c>
      <c r="DJ214">
        <f t="shared" si="96"/>
        <v>0</v>
      </c>
      <c r="DK214">
        <v>0</v>
      </c>
      <c r="DL214" t="s">
        <v>3</v>
      </c>
      <c r="DM214">
        <v>0</v>
      </c>
      <c r="DN214" t="s">
        <v>3</v>
      </c>
      <c r="DO214">
        <v>0</v>
      </c>
    </row>
    <row r="215" spans="1:119" x14ac:dyDescent="0.2">
      <c r="A215">
        <f>ROW(Source!A264)</f>
        <v>264</v>
      </c>
      <c r="B215">
        <v>94798619</v>
      </c>
      <c r="C215">
        <v>94799872</v>
      </c>
      <c r="D215">
        <v>37735329</v>
      </c>
      <c r="E215">
        <v>1</v>
      </c>
      <c r="F215">
        <v>1</v>
      </c>
      <c r="G215">
        <v>1</v>
      </c>
      <c r="H215">
        <v>3</v>
      </c>
      <c r="I215" t="s">
        <v>380</v>
      </c>
      <c r="J215" t="s">
        <v>382</v>
      </c>
      <c r="K215" t="s">
        <v>381</v>
      </c>
      <c r="L215">
        <v>1348</v>
      </c>
      <c r="N215">
        <v>1009</v>
      </c>
      <c r="O215" t="s">
        <v>170</v>
      </c>
      <c r="P215" t="s">
        <v>170</v>
      </c>
      <c r="Q215">
        <v>1000</v>
      </c>
      <c r="W215">
        <v>0</v>
      </c>
      <c r="X215">
        <v>1071627226</v>
      </c>
      <c r="Y215">
        <f t="shared" si="65"/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M215">
        <v>0</v>
      </c>
      <c r="AN215">
        <v>1</v>
      </c>
      <c r="AO215">
        <v>0</v>
      </c>
      <c r="AP215">
        <v>1</v>
      </c>
      <c r="AQ215">
        <v>0</v>
      </c>
      <c r="AR215">
        <v>0</v>
      </c>
      <c r="AS215" t="s">
        <v>3</v>
      </c>
      <c r="AT215">
        <v>0</v>
      </c>
      <c r="AU215" t="s">
        <v>3</v>
      </c>
      <c r="AV215">
        <v>0</v>
      </c>
      <c r="AW215">
        <v>2</v>
      </c>
      <c r="AX215">
        <v>94799896</v>
      </c>
      <c r="AY215">
        <v>1</v>
      </c>
      <c r="AZ215">
        <v>0</v>
      </c>
      <c r="BA215">
        <v>215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V215">
        <v>0</v>
      </c>
      <c r="CW215">
        <v>0</v>
      </c>
      <c r="CX215">
        <f>ROUND(Y215*Source!I264,9)</f>
        <v>0</v>
      </c>
      <c r="CY215">
        <f t="shared" si="90"/>
        <v>0</v>
      </c>
      <c r="CZ215">
        <f t="shared" si="91"/>
        <v>0</v>
      </c>
      <c r="DA215">
        <f t="shared" si="92"/>
        <v>1</v>
      </c>
      <c r="DB215">
        <f t="shared" si="66"/>
        <v>0</v>
      </c>
      <c r="DC215">
        <f t="shared" si="67"/>
        <v>0</v>
      </c>
      <c r="DD215" t="s">
        <v>3</v>
      </c>
      <c r="DE215" t="s">
        <v>3</v>
      </c>
      <c r="DF215">
        <f>ROUND(ROUND(AE215,2)*CX215,2)</f>
        <v>0</v>
      </c>
      <c r="DG215">
        <f t="shared" si="94"/>
        <v>0</v>
      </c>
      <c r="DH215">
        <f t="shared" si="95"/>
        <v>0</v>
      </c>
      <c r="DI215">
        <f t="shared" si="83"/>
        <v>0</v>
      </c>
      <c r="DJ215">
        <f t="shared" si="96"/>
        <v>0</v>
      </c>
      <c r="DK215">
        <v>0</v>
      </c>
      <c r="DL215" t="s">
        <v>3</v>
      </c>
      <c r="DM215">
        <v>0</v>
      </c>
      <c r="DN215" t="s">
        <v>3</v>
      </c>
      <c r="DO215">
        <v>0</v>
      </c>
    </row>
    <row r="216" spans="1:119" x14ac:dyDescent="0.2">
      <c r="A216">
        <f>ROW(Source!A264)</f>
        <v>264</v>
      </c>
      <c r="B216">
        <v>94798619</v>
      </c>
      <c r="C216">
        <v>94799872</v>
      </c>
      <c r="D216">
        <v>37738047</v>
      </c>
      <c r="E216">
        <v>1</v>
      </c>
      <c r="F216">
        <v>1</v>
      </c>
      <c r="G216">
        <v>1</v>
      </c>
      <c r="H216">
        <v>3</v>
      </c>
      <c r="I216" t="s">
        <v>857</v>
      </c>
      <c r="J216" t="s">
        <v>858</v>
      </c>
      <c r="K216" t="s">
        <v>859</v>
      </c>
      <c r="L216">
        <v>1339</v>
      </c>
      <c r="N216">
        <v>1007</v>
      </c>
      <c r="O216" t="s">
        <v>52</v>
      </c>
      <c r="P216" t="s">
        <v>52</v>
      </c>
      <c r="Q216">
        <v>1</v>
      </c>
      <c r="W216">
        <v>0</v>
      </c>
      <c r="X216">
        <v>579634616</v>
      </c>
      <c r="Y216">
        <f t="shared" si="65"/>
        <v>1.2999999999999999E-3</v>
      </c>
      <c r="AA216">
        <v>18572.47</v>
      </c>
      <c r="AB216">
        <v>0</v>
      </c>
      <c r="AC216">
        <v>0</v>
      </c>
      <c r="AD216">
        <v>0</v>
      </c>
      <c r="AE216">
        <v>1421</v>
      </c>
      <c r="AF216">
        <v>0</v>
      </c>
      <c r="AG216">
        <v>0</v>
      </c>
      <c r="AH216">
        <v>0</v>
      </c>
      <c r="AI216">
        <v>13.07</v>
      </c>
      <c r="AJ216">
        <v>1</v>
      </c>
      <c r="AK216">
        <v>1</v>
      </c>
      <c r="AL216">
        <v>1</v>
      </c>
      <c r="AM216">
        <v>2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3</v>
      </c>
      <c r="AT216">
        <v>1.2999999999999999E-3</v>
      </c>
      <c r="AU216" t="s">
        <v>3</v>
      </c>
      <c r="AV216">
        <v>0</v>
      </c>
      <c r="AW216">
        <v>2</v>
      </c>
      <c r="AX216">
        <v>94799897</v>
      </c>
      <c r="AY216">
        <v>1</v>
      </c>
      <c r="AZ216">
        <v>0</v>
      </c>
      <c r="BA216">
        <v>216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V216">
        <v>0</v>
      </c>
      <c r="CW216">
        <v>0</v>
      </c>
      <c r="CX216">
        <f>ROUND(Y216*Source!I264,9)</f>
        <v>1.7550000000000001E-4</v>
      </c>
      <c r="CY216">
        <f t="shared" si="90"/>
        <v>18572.47</v>
      </c>
      <c r="CZ216">
        <f t="shared" si="91"/>
        <v>1421</v>
      </c>
      <c r="DA216">
        <f t="shared" si="92"/>
        <v>13.07</v>
      </c>
      <c r="DB216">
        <f t="shared" si="66"/>
        <v>1.85</v>
      </c>
      <c r="DC216">
        <f t="shared" si="67"/>
        <v>0</v>
      </c>
      <c r="DD216" t="s">
        <v>3</v>
      </c>
      <c r="DE216" t="s">
        <v>3</v>
      </c>
      <c r="DF216">
        <f>ROUND(ROUND(AE216*AI216,2)*CX216,2)</f>
        <v>3.26</v>
      </c>
      <c r="DG216">
        <f t="shared" si="94"/>
        <v>0</v>
      </c>
      <c r="DH216">
        <f t="shared" si="95"/>
        <v>0</v>
      </c>
      <c r="DI216">
        <f t="shared" si="83"/>
        <v>0</v>
      </c>
      <c r="DJ216">
        <f t="shared" si="96"/>
        <v>3.26</v>
      </c>
      <c r="DK216">
        <v>0</v>
      </c>
      <c r="DL216" t="s">
        <v>3</v>
      </c>
      <c r="DM216">
        <v>0</v>
      </c>
      <c r="DN216" t="s">
        <v>3</v>
      </c>
      <c r="DO216">
        <v>0</v>
      </c>
    </row>
    <row r="217" spans="1:119" x14ac:dyDescent="0.2">
      <c r="A217">
        <f>ROW(Source!A264)</f>
        <v>264</v>
      </c>
      <c r="B217">
        <v>94798619</v>
      </c>
      <c r="C217">
        <v>94799872</v>
      </c>
      <c r="D217">
        <v>37744698</v>
      </c>
      <c r="E217">
        <v>1</v>
      </c>
      <c r="F217">
        <v>1</v>
      </c>
      <c r="G217">
        <v>1</v>
      </c>
      <c r="H217">
        <v>3</v>
      </c>
      <c r="I217" t="s">
        <v>178</v>
      </c>
      <c r="J217" t="s">
        <v>180</v>
      </c>
      <c r="K217" t="s">
        <v>179</v>
      </c>
      <c r="L217">
        <v>1348</v>
      </c>
      <c r="N217">
        <v>1009</v>
      </c>
      <c r="O217" t="s">
        <v>170</v>
      </c>
      <c r="P217" t="s">
        <v>170</v>
      </c>
      <c r="Q217">
        <v>1000</v>
      </c>
      <c r="W217">
        <v>0</v>
      </c>
      <c r="X217">
        <v>-763406924</v>
      </c>
      <c r="Y217">
        <f t="shared" si="65"/>
        <v>4.6999999999999999E-4</v>
      </c>
      <c r="AA217">
        <v>80130.600000000006</v>
      </c>
      <c r="AB217">
        <v>0</v>
      </c>
      <c r="AC217">
        <v>0</v>
      </c>
      <c r="AD217">
        <v>0</v>
      </c>
      <c r="AE217">
        <v>15620</v>
      </c>
      <c r="AF217">
        <v>0</v>
      </c>
      <c r="AG217">
        <v>0</v>
      </c>
      <c r="AH217">
        <v>0</v>
      </c>
      <c r="AI217">
        <v>5.13</v>
      </c>
      <c r="AJ217">
        <v>1</v>
      </c>
      <c r="AK217">
        <v>1</v>
      </c>
      <c r="AL217">
        <v>1</v>
      </c>
      <c r="AM217">
        <v>2</v>
      </c>
      <c r="AN217">
        <v>0</v>
      </c>
      <c r="AO217">
        <v>1</v>
      </c>
      <c r="AP217">
        <v>1</v>
      </c>
      <c r="AQ217">
        <v>0</v>
      </c>
      <c r="AR217">
        <v>0</v>
      </c>
      <c r="AS217" t="s">
        <v>3</v>
      </c>
      <c r="AT217">
        <v>4.6999999999999999E-4</v>
      </c>
      <c r="AU217" t="s">
        <v>3</v>
      </c>
      <c r="AV217">
        <v>0</v>
      </c>
      <c r="AW217">
        <v>2</v>
      </c>
      <c r="AX217">
        <v>94799898</v>
      </c>
      <c r="AY217">
        <v>1</v>
      </c>
      <c r="AZ217">
        <v>0</v>
      </c>
      <c r="BA217">
        <v>217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V217">
        <v>0</v>
      </c>
      <c r="CW217">
        <v>0</v>
      </c>
      <c r="CX217">
        <f>ROUND(Y217*Source!I264,9)</f>
        <v>6.3449999999999997E-5</v>
      </c>
      <c r="CY217">
        <f t="shared" si="90"/>
        <v>80130.600000000006</v>
      </c>
      <c r="CZ217">
        <f t="shared" si="91"/>
        <v>15620</v>
      </c>
      <c r="DA217">
        <f t="shared" si="92"/>
        <v>5.13</v>
      </c>
      <c r="DB217">
        <f t="shared" si="66"/>
        <v>7.34</v>
      </c>
      <c r="DC217">
        <f t="shared" si="67"/>
        <v>0</v>
      </c>
      <c r="DD217" t="s">
        <v>3</v>
      </c>
      <c r="DE217" t="s">
        <v>3</v>
      </c>
      <c r="DF217">
        <f>ROUND(ROUND(AE217*AI217,2)*CX217,2)</f>
        <v>5.08</v>
      </c>
      <c r="DG217">
        <f t="shared" si="94"/>
        <v>0</v>
      </c>
      <c r="DH217">
        <f t="shared" si="95"/>
        <v>0</v>
      </c>
      <c r="DI217">
        <f t="shared" si="83"/>
        <v>0</v>
      </c>
      <c r="DJ217">
        <f t="shared" si="96"/>
        <v>5.08</v>
      </c>
      <c r="DK217">
        <v>0</v>
      </c>
      <c r="DL217" t="s">
        <v>3</v>
      </c>
      <c r="DM217">
        <v>0</v>
      </c>
      <c r="DN217" t="s">
        <v>3</v>
      </c>
      <c r="DO217">
        <v>0</v>
      </c>
    </row>
    <row r="218" spans="1:119" x14ac:dyDescent="0.2">
      <c r="A218">
        <f>ROW(Source!A264)</f>
        <v>264</v>
      </c>
      <c r="B218">
        <v>94798619</v>
      </c>
      <c r="C218">
        <v>94799872</v>
      </c>
      <c r="D218">
        <v>37751308</v>
      </c>
      <c r="E218">
        <v>1</v>
      </c>
      <c r="F218">
        <v>1</v>
      </c>
      <c r="G218">
        <v>1</v>
      </c>
      <c r="H218">
        <v>3</v>
      </c>
      <c r="I218" t="s">
        <v>860</v>
      </c>
      <c r="J218" t="s">
        <v>861</v>
      </c>
      <c r="K218" t="s">
        <v>862</v>
      </c>
      <c r="L218">
        <v>1348</v>
      </c>
      <c r="N218">
        <v>1009</v>
      </c>
      <c r="O218" t="s">
        <v>170</v>
      </c>
      <c r="P218" t="s">
        <v>170</v>
      </c>
      <c r="Q218">
        <v>1000</v>
      </c>
      <c r="W218">
        <v>0</v>
      </c>
      <c r="X218">
        <v>1152755346</v>
      </c>
      <c r="Y218">
        <f t="shared" si="65"/>
        <v>1.9E-2</v>
      </c>
      <c r="AA218">
        <v>119227.52</v>
      </c>
      <c r="AB218">
        <v>0</v>
      </c>
      <c r="AC218">
        <v>0</v>
      </c>
      <c r="AD218">
        <v>0</v>
      </c>
      <c r="AE218">
        <v>7712</v>
      </c>
      <c r="AF218">
        <v>0</v>
      </c>
      <c r="AG218">
        <v>0</v>
      </c>
      <c r="AH218">
        <v>0</v>
      </c>
      <c r="AI218">
        <v>15.46</v>
      </c>
      <c r="AJ218">
        <v>1</v>
      </c>
      <c r="AK218">
        <v>1</v>
      </c>
      <c r="AL218">
        <v>1</v>
      </c>
      <c r="AM218">
        <v>2</v>
      </c>
      <c r="AN218">
        <v>0</v>
      </c>
      <c r="AO218">
        <v>1</v>
      </c>
      <c r="AP218">
        <v>1</v>
      </c>
      <c r="AQ218">
        <v>0</v>
      </c>
      <c r="AR218">
        <v>0</v>
      </c>
      <c r="AS218" t="s">
        <v>3</v>
      </c>
      <c r="AT218">
        <v>1.9E-2</v>
      </c>
      <c r="AU218" t="s">
        <v>3</v>
      </c>
      <c r="AV218">
        <v>0</v>
      </c>
      <c r="AW218">
        <v>2</v>
      </c>
      <c r="AX218">
        <v>94799899</v>
      </c>
      <c r="AY218">
        <v>1</v>
      </c>
      <c r="AZ218">
        <v>0</v>
      </c>
      <c r="BA218">
        <v>218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V218">
        <v>0</v>
      </c>
      <c r="CW218">
        <v>0</v>
      </c>
      <c r="CX218">
        <f>ROUND(Y218*Source!I264,9)</f>
        <v>2.565E-3</v>
      </c>
      <c r="CY218">
        <f t="shared" si="90"/>
        <v>119227.52</v>
      </c>
      <c r="CZ218">
        <f t="shared" si="91"/>
        <v>7712</v>
      </c>
      <c r="DA218">
        <f t="shared" si="92"/>
        <v>15.46</v>
      </c>
      <c r="DB218">
        <f t="shared" si="66"/>
        <v>146.53</v>
      </c>
      <c r="DC218">
        <f t="shared" si="67"/>
        <v>0</v>
      </c>
      <c r="DD218" t="s">
        <v>3</v>
      </c>
      <c r="DE218" t="s">
        <v>3</v>
      </c>
      <c r="DF218">
        <f>ROUND(ROUND(AE218*AI218,2)*CX218,2)</f>
        <v>305.82</v>
      </c>
      <c r="DG218">
        <f t="shared" si="94"/>
        <v>0</v>
      </c>
      <c r="DH218">
        <f t="shared" si="95"/>
        <v>0</v>
      </c>
      <c r="DI218">
        <f t="shared" si="83"/>
        <v>0</v>
      </c>
      <c r="DJ218">
        <f t="shared" si="96"/>
        <v>305.82</v>
      </c>
      <c r="DK218">
        <v>0</v>
      </c>
      <c r="DL218" t="s">
        <v>3</v>
      </c>
      <c r="DM218">
        <v>0</v>
      </c>
      <c r="DN218" t="s">
        <v>3</v>
      </c>
      <c r="DO218">
        <v>0</v>
      </c>
    </row>
    <row r="219" spans="1:119" x14ac:dyDescent="0.2">
      <c r="A219">
        <f>ROW(Source!A264)</f>
        <v>264</v>
      </c>
      <c r="B219">
        <v>94798619</v>
      </c>
      <c r="C219">
        <v>94799872</v>
      </c>
      <c r="D219">
        <v>37750155</v>
      </c>
      <c r="E219">
        <v>1</v>
      </c>
      <c r="F219">
        <v>1</v>
      </c>
      <c r="G219">
        <v>1</v>
      </c>
      <c r="H219">
        <v>3</v>
      </c>
      <c r="I219" t="s">
        <v>384</v>
      </c>
      <c r="J219" t="s">
        <v>386</v>
      </c>
      <c r="K219" t="s">
        <v>385</v>
      </c>
      <c r="L219">
        <v>1348</v>
      </c>
      <c r="N219">
        <v>1009</v>
      </c>
      <c r="O219" t="s">
        <v>170</v>
      </c>
      <c r="P219" t="s">
        <v>170</v>
      </c>
      <c r="Q219">
        <v>1000</v>
      </c>
      <c r="W219">
        <v>0</v>
      </c>
      <c r="X219">
        <v>793976102</v>
      </c>
      <c r="Y219">
        <f t="shared" ref="Y219:Y282" si="97">AT219</f>
        <v>5.7799999999999997E-2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M219">
        <v>0</v>
      </c>
      <c r="AN219">
        <v>0</v>
      </c>
      <c r="AO219">
        <v>0</v>
      </c>
      <c r="AP219">
        <v>1</v>
      </c>
      <c r="AQ219">
        <v>0</v>
      </c>
      <c r="AR219">
        <v>0</v>
      </c>
      <c r="AS219" t="s">
        <v>3</v>
      </c>
      <c r="AT219">
        <v>5.7799999999999997E-2</v>
      </c>
      <c r="AU219" t="s">
        <v>3</v>
      </c>
      <c r="AV219">
        <v>0</v>
      </c>
      <c r="AW219">
        <v>2</v>
      </c>
      <c r="AX219">
        <v>94799900</v>
      </c>
      <c r="AY219">
        <v>1</v>
      </c>
      <c r="AZ219">
        <v>0</v>
      </c>
      <c r="BA219">
        <v>219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V219">
        <v>0</v>
      </c>
      <c r="CW219">
        <v>0</v>
      </c>
      <c r="CX219">
        <f>ROUND(Y219*Source!I264,9)</f>
        <v>7.803E-3</v>
      </c>
      <c r="CY219">
        <f t="shared" si="90"/>
        <v>0</v>
      </c>
      <c r="CZ219">
        <f t="shared" si="91"/>
        <v>0</v>
      </c>
      <c r="DA219">
        <f t="shared" si="92"/>
        <v>1</v>
      </c>
      <c r="DB219">
        <f t="shared" ref="DB219:DB282" si="98">ROUND(ROUND(AT219*CZ219,2),2)</f>
        <v>0</v>
      </c>
      <c r="DC219">
        <f t="shared" ref="DC219:DC282" si="99">ROUND(ROUND(AT219*AG219,2),2)</f>
        <v>0</v>
      </c>
      <c r="DD219" t="s">
        <v>3</v>
      </c>
      <c r="DE219" t="s">
        <v>3</v>
      </c>
      <c r="DF219">
        <f>ROUND(ROUND(AE219,2)*CX219,2)</f>
        <v>0</v>
      </c>
      <c r="DG219">
        <f t="shared" si="94"/>
        <v>0</v>
      </c>
      <c r="DH219">
        <f t="shared" si="95"/>
        <v>0</v>
      </c>
      <c r="DI219">
        <f t="shared" si="83"/>
        <v>0</v>
      </c>
      <c r="DJ219">
        <f t="shared" si="96"/>
        <v>0</v>
      </c>
      <c r="DK219">
        <v>0</v>
      </c>
      <c r="DL219" t="s">
        <v>3</v>
      </c>
      <c r="DM219">
        <v>0</v>
      </c>
      <c r="DN219" t="s">
        <v>3</v>
      </c>
      <c r="DO219">
        <v>0</v>
      </c>
    </row>
    <row r="220" spans="1:119" x14ac:dyDescent="0.2">
      <c r="A220">
        <f>ROW(Source!A264)</f>
        <v>264</v>
      </c>
      <c r="B220">
        <v>94798619</v>
      </c>
      <c r="C220">
        <v>94799872</v>
      </c>
      <c r="D220">
        <v>37790931</v>
      </c>
      <c r="E220">
        <v>1</v>
      </c>
      <c r="F220">
        <v>1</v>
      </c>
      <c r="G220">
        <v>1</v>
      </c>
      <c r="H220">
        <v>3</v>
      </c>
      <c r="I220" t="s">
        <v>863</v>
      </c>
      <c r="J220" t="s">
        <v>864</v>
      </c>
      <c r="K220" t="s">
        <v>865</v>
      </c>
      <c r="L220">
        <v>1302</v>
      </c>
      <c r="N220">
        <v>1003</v>
      </c>
      <c r="O220" t="s">
        <v>866</v>
      </c>
      <c r="P220" t="s">
        <v>866</v>
      </c>
      <c r="Q220">
        <v>10</v>
      </c>
      <c r="W220">
        <v>0</v>
      </c>
      <c r="X220">
        <v>-802941189</v>
      </c>
      <c r="Y220">
        <f t="shared" si="97"/>
        <v>1.6E-2</v>
      </c>
      <c r="AA220">
        <v>251.68</v>
      </c>
      <c r="AB220">
        <v>0</v>
      </c>
      <c r="AC220">
        <v>0</v>
      </c>
      <c r="AD220">
        <v>0</v>
      </c>
      <c r="AE220">
        <v>71.5</v>
      </c>
      <c r="AF220">
        <v>0</v>
      </c>
      <c r="AG220">
        <v>0</v>
      </c>
      <c r="AH220">
        <v>0</v>
      </c>
      <c r="AI220">
        <v>3.52</v>
      </c>
      <c r="AJ220">
        <v>1</v>
      </c>
      <c r="AK220">
        <v>1</v>
      </c>
      <c r="AL220">
        <v>1</v>
      </c>
      <c r="AM220">
        <v>2</v>
      </c>
      <c r="AN220">
        <v>0</v>
      </c>
      <c r="AO220">
        <v>1</v>
      </c>
      <c r="AP220">
        <v>1</v>
      </c>
      <c r="AQ220">
        <v>0</v>
      </c>
      <c r="AR220">
        <v>0</v>
      </c>
      <c r="AS220" t="s">
        <v>3</v>
      </c>
      <c r="AT220">
        <v>1.6E-2</v>
      </c>
      <c r="AU220" t="s">
        <v>3</v>
      </c>
      <c r="AV220">
        <v>0</v>
      </c>
      <c r="AW220">
        <v>2</v>
      </c>
      <c r="AX220">
        <v>94799901</v>
      </c>
      <c r="AY220">
        <v>1</v>
      </c>
      <c r="AZ220">
        <v>0</v>
      </c>
      <c r="BA220">
        <v>220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V220">
        <v>0</v>
      </c>
      <c r="CW220">
        <v>0</v>
      </c>
      <c r="CX220">
        <f>ROUND(Y220*Source!I264,9)</f>
        <v>2.16E-3</v>
      </c>
      <c r="CY220">
        <f t="shared" si="90"/>
        <v>251.68</v>
      </c>
      <c r="CZ220">
        <f t="shared" si="91"/>
        <v>71.5</v>
      </c>
      <c r="DA220">
        <f t="shared" si="92"/>
        <v>3.52</v>
      </c>
      <c r="DB220">
        <f t="shared" si="98"/>
        <v>1.1399999999999999</v>
      </c>
      <c r="DC220">
        <f t="shared" si="99"/>
        <v>0</v>
      </c>
      <c r="DD220" t="s">
        <v>3</v>
      </c>
      <c r="DE220" t="s">
        <v>3</v>
      </c>
      <c r="DF220">
        <f>ROUND(ROUND(AE220*AI220,2)*CX220,2)</f>
        <v>0.54</v>
      </c>
      <c r="DG220">
        <f t="shared" si="94"/>
        <v>0</v>
      </c>
      <c r="DH220">
        <f t="shared" si="95"/>
        <v>0</v>
      </c>
      <c r="DI220">
        <f t="shared" si="83"/>
        <v>0</v>
      </c>
      <c r="DJ220">
        <f t="shared" si="96"/>
        <v>0.54</v>
      </c>
      <c r="DK220">
        <v>0</v>
      </c>
      <c r="DL220" t="s">
        <v>3</v>
      </c>
      <c r="DM220">
        <v>0</v>
      </c>
      <c r="DN220" t="s">
        <v>3</v>
      </c>
      <c r="DO220">
        <v>0</v>
      </c>
    </row>
    <row r="221" spans="1:119" x14ac:dyDescent="0.2">
      <c r="A221">
        <f>ROW(Source!A270)</f>
        <v>270</v>
      </c>
      <c r="B221">
        <v>94798619</v>
      </c>
      <c r="C221">
        <v>94799907</v>
      </c>
      <c r="D221">
        <v>23146501</v>
      </c>
      <c r="E221">
        <v>1</v>
      </c>
      <c r="F221">
        <v>1</v>
      </c>
      <c r="G221">
        <v>1</v>
      </c>
      <c r="H221">
        <v>1</v>
      </c>
      <c r="I221" t="s">
        <v>926</v>
      </c>
      <c r="J221" t="s">
        <v>3</v>
      </c>
      <c r="K221" t="s">
        <v>927</v>
      </c>
      <c r="L221">
        <v>1369</v>
      </c>
      <c r="N221">
        <v>1013</v>
      </c>
      <c r="O221" t="s">
        <v>696</v>
      </c>
      <c r="P221" t="s">
        <v>696</v>
      </c>
      <c r="Q221">
        <v>1</v>
      </c>
      <c r="W221">
        <v>0</v>
      </c>
      <c r="X221">
        <v>-1511738761</v>
      </c>
      <c r="Y221">
        <f t="shared" si="97"/>
        <v>5.31</v>
      </c>
      <c r="AA221">
        <v>0</v>
      </c>
      <c r="AB221">
        <v>0</v>
      </c>
      <c r="AC221">
        <v>0</v>
      </c>
      <c r="AD221">
        <v>9.9499999999999993</v>
      </c>
      <c r="AE221">
        <v>0</v>
      </c>
      <c r="AF221">
        <v>0</v>
      </c>
      <c r="AG221">
        <v>0</v>
      </c>
      <c r="AH221">
        <v>9.9499999999999993</v>
      </c>
      <c r="AI221">
        <v>1</v>
      </c>
      <c r="AJ221">
        <v>1</v>
      </c>
      <c r="AK221">
        <v>1</v>
      </c>
      <c r="AL221">
        <v>1</v>
      </c>
      <c r="AM221">
        <v>-2</v>
      </c>
      <c r="AN221">
        <v>0</v>
      </c>
      <c r="AO221">
        <v>1</v>
      </c>
      <c r="AP221">
        <v>1</v>
      </c>
      <c r="AQ221">
        <v>0</v>
      </c>
      <c r="AR221">
        <v>0</v>
      </c>
      <c r="AS221" t="s">
        <v>3</v>
      </c>
      <c r="AT221">
        <v>5.31</v>
      </c>
      <c r="AU221" t="s">
        <v>3</v>
      </c>
      <c r="AV221">
        <v>1</v>
      </c>
      <c r="AW221">
        <v>2</v>
      </c>
      <c r="AX221">
        <v>94799908</v>
      </c>
      <c r="AY221">
        <v>1</v>
      </c>
      <c r="AZ221">
        <v>0</v>
      </c>
      <c r="BA221">
        <v>221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U221">
        <f>ROUND(AT221*Source!I270*AH221*AL221,2)</f>
        <v>0</v>
      </c>
      <c r="CV221">
        <f>ROUND(Y221*Source!I270,9)</f>
        <v>0</v>
      </c>
      <c r="CW221">
        <v>0</v>
      </c>
      <c r="CX221">
        <f>ROUND(Y221*Source!I270,9)</f>
        <v>0</v>
      </c>
      <c r="CY221">
        <f>AD221</f>
        <v>9.9499999999999993</v>
      </c>
      <c r="CZ221">
        <f>AH221</f>
        <v>9.9499999999999993</v>
      </c>
      <c r="DA221">
        <f>AL221</f>
        <v>1</v>
      </c>
      <c r="DB221">
        <f t="shared" si="98"/>
        <v>52.83</v>
      </c>
      <c r="DC221">
        <f t="shared" si="99"/>
        <v>0</v>
      </c>
      <c r="DD221" t="s">
        <v>3</v>
      </c>
      <c r="DE221" t="s">
        <v>3</v>
      </c>
      <c r="DF221">
        <f t="shared" ref="DF221:DF226" si="100">ROUND(ROUND(AE221,2)*CX221,2)</f>
        <v>0</v>
      </c>
      <c r="DG221">
        <f t="shared" si="94"/>
        <v>0</v>
      </c>
      <c r="DH221">
        <f t="shared" si="95"/>
        <v>0</v>
      </c>
      <c r="DI221">
        <f t="shared" si="83"/>
        <v>0</v>
      </c>
      <c r="DJ221">
        <f>DI221</f>
        <v>0</v>
      </c>
      <c r="DK221">
        <v>0</v>
      </c>
      <c r="DL221" t="s">
        <v>3</v>
      </c>
      <c r="DM221">
        <v>0</v>
      </c>
      <c r="DN221" t="s">
        <v>3</v>
      </c>
      <c r="DO221">
        <v>0</v>
      </c>
    </row>
    <row r="222" spans="1:119" x14ac:dyDescent="0.2">
      <c r="A222">
        <f>ROW(Source!A270)</f>
        <v>270</v>
      </c>
      <c r="B222">
        <v>94798619</v>
      </c>
      <c r="C222">
        <v>94799907</v>
      </c>
      <c r="D222">
        <v>121548</v>
      </c>
      <c r="E222">
        <v>1</v>
      </c>
      <c r="F222">
        <v>1</v>
      </c>
      <c r="G222">
        <v>1</v>
      </c>
      <c r="H222">
        <v>1</v>
      </c>
      <c r="I222" t="s">
        <v>28</v>
      </c>
      <c r="J222" t="s">
        <v>3</v>
      </c>
      <c r="K222" t="s">
        <v>705</v>
      </c>
      <c r="L222">
        <v>608254</v>
      </c>
      <c r="N222">
        <v>1013</v>
      </c>
      <c r="O222" t="s">
        <v>706</v>
      </c>
      <c r="P222" t="s">
        <v>706</v>
      </c>
      <c r="Q222">
        <v>1</v>
      </c>
      <c r="W222">
        <v>0</v>
      </c>
      <c r="X222">
        <v>-185737400</v>
      </c>
      <c r="Y222">
        <f t="shared" si="97"/>
        <v>0.01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1</v>
      </c>
      <c r="AJ222">
        <v>1</v>
      </c>
      <c r="AK222">
        <v>1</v>
      </c>
      <c r="AL222">
        <v>1</v>
      </c>
      <c r="AM222">
        <v>-2</v>
      </c>
      <c r="AN222">
        <v>0</v>
      </c>
      <c r="AO222">
        <v>1</v>
      </c>
      <c r="AP222">
        <v>1</v>
      </c>
      <c r="AQ222">
        <v>0</v>
      </c>
      <c r="AR222">
        <v>0</v>
      </c>
      <c r="AS222" t="s">
        <v>3</v>
      </c>
      <c r="AT222">
        <v>0.01</v>
      </c>
      <c r="AU222" t="s">
        <v>3</v>
      </c>
      <c r="AV222">
        <v>2</v>
      </c>
      <c r="AW222">
        <v>2</v>
      </c>
      <c r="AX222">
        <v>94799909</v>
      </c>
      <c r="AY222">
        <v>1</v>
      </c>
      <c r="AZ222">
        <v>0</v>
      </c>
      <c r="BA222">
        <v>222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V222">
        <v>0</v>
      </c>
      <c r="CW222">
        <v>0</v>
      </c>
      <c r="CX222">
        <f>ROUND(Y222*Source!I270,9)</f>
        <v>0</v>
      </c>
      <c r="CY222">
        <f>AD222</f>
        <v>0</v>
      </c>
      <c r="CZ222">
        <f>AH222</f>
        <v>0</v>
      </c>
      <c r="DA222">
        <f>AL222</f>
        <v>1</v>
      </c>
      <c r="DB222">
        <f t="shared" si="98"/>
        <v>0</v>
      </c>
      <c r="DC222">
        <f t="shared" si="99"/>
        <v>0</v>
      </c>
      <c r="DD222" t="s">
        <v>3</v>
      </c>
      <c r="DE222" t="s">
        <v>3</v>
      </c>
      <c r="DF222">
        <f t="shared" si="100"/>
        <v>0</v>
      </c>
      <c r="DG222">
        <f t="shared" si="94"/>
        <v>0</v>
      </c>
      <c r="DH222">
        <f t="shared" si="95"/>
        <v>0</v>
      </c>
      <c r="DI222">
        <f t="shared" si="83"/>
        <v>0</v>
      </c>
      <c r="DJ222">
        <f>DI222</f>
        <v>0</v>
      </c>
      <c r="DK222">
        <v>0</v>
      </c>
      <c r="DL222" t="s">
        <v>3</v>
      </c>
      <c r="DM222">
        <v>0</v>
      </c>
      <c r="DN222" t="s">
        <v>3</v>
      </c>
      <c r="DO222">
        <v>0</v>
      </c>
    </row>
    <row r="223" spans="1:119" x14ac:dyDescent="0.2">
      <c r="A223">
        <f>ROW(Source!A270)</f>
        <v>270</v>
      </c>
      <c r="B223">
        <v>94798619</v>
      </c>
      <c r="C223">
        <v>94799907</v>
      </c>
      <c r="D223">
        <v>37802515</v>
      </c>
      <c r="E223">
        <v>1</v>
      </c>
      <c r="F223">
        <v>1</v>
      </c>
      <c r="G223">
        <v>1</v>
      </c>
      <c r="H223">
        <v>2</v>
      </c>
      <c r="I223" t="s">
        <v>774</v>
      </c>
      <c r="J223" t="s">
        <v>775</v>
      </c>
      <c r="K223" t="s">
        <v>776</v>
      </c>
      <c r="L223">
        <v>1368</v>
      </c>
      <c r="N223">
        <v>1011</v>
      </c>
      <c r="O223" t="s">
        <v>700</v>
      </c>
      <c r="P223" t="s">
        <v>700</v>
      </c>
      <c r="Q223">
        <v>1</v>
      </c>
      <c r="W223">
        <v>0</v>
      </c>
      <c r="X223">
        <v>-674318163</v>
      </c>
      <c r="Y223">
        <f t="shared" si="97"/>
        <v>0.01</v>
      </c>
      <c r="AA223">
        <v>0</v>
      </c>
      <c r="AB223">
        <v>2230.73</v>
      </c>
      <c r="AC223">
        <v>317.43</v>
      </c>
      <c r="AD223">
        <v>0</v>
      </c>
      <c r="AE223">
        <v>0</v>
      </c>
      <c r="AF223">
        <v>87.24</v>
      </c>
      <c r="AG223">
        <v>9</v>
      </c>
      <c r="AH223">
        <v>0</v>
      </c>
      <c r="AI223">
        <v>1</v>
      </c>
      <c r="AJ223">
        <v>25.57</v>
      </c>
      <c r="AK223">
        <v>35.270000000000003</v>
      </c>
      <c r="AL223">
        <v>1</v>
      </c>
      <c r="AM223">
        <v>2</v>
      </c>
      <c r="AN223">
        <v>0</v>
      </c>
      <c r="AO223">
        <v>1</v>
      </c>
      <c r="AP223">
        <v>1</v>
      </c>
      <c r="AQ223">
        <v>0</v>
      </c>
      <c r="AR223">
        <v>0</v>
      </c>
      <c r="AS223" t="s">
        <v>3</v>
      </c>
      <c r="AT223">
        <v>0.01</v>
      </c>
      <c r="AU223" t="s">
        <v>3</v>
      </c>
      <c r="AV223">
        <v>0</v>
      </c>
      <c r="AW223">
        <v>2</v>
      </c>
      <c r="AX223">
        <v>94799910</v>
      </c>
      <c r="AY223">
        <v>1</v>
      </c>
      <c r="AZ223">
        <v>0</v>
      </c>
      <c r="BA223">
        <v>223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V223">
        <v>0</v>
      </c>
      <c r="CW223">
        <f>ROUND(Y223*Source!I270*DO223,9)</f>
        <v>0</v>
      </c>
      <c r="CX223">
        <f>ROUND(Y223*Source!I270,9)</f>
        <v>0</v>
      </c>
      <c r="CY223">
        <f>AB223</f>
        <v>2230.73</v>
      </c>
      <c r="CZ223">
        <f>AF223</f>
        <v>87.24</v>
      </c>
      <c r="DA223">
        <f>AJ223</f>
        <v>25.57</v>
      </c>
      <c r="DB223">
        <f t="shared" si="98"/>
        <v>0.87</v>
      </c>
      <c r="DC223">
        <f t="shared" si="99"/>
        <v>0.09</v>
      </c>
      <c r="DD223" t="s">
        <v>3</v>
      </c>
      <c r="DE223" t="s">
        <v>3</v>
      </c>
      <c r="DF223">
        <f t="shared" si="100"/>
        <v>0</v>
      </c>
      <c r="DG223">
        <f>ROUND(ROUND(AF223*AJ223,2)*CX223,2)</f>
        <v>0</v>
      </c>
      <c r="DH223">
        <f>ROUND(ROUND(AG223*AK223,2)*CX223,2)</f>
        <v>0</v>
      </c>
      <c r="DI223">
        <f t="shared" si="83"/>
        <v>0</v>
      </c>
      <c r="DJ223">
        <f>DG223</f>
        <v>0</v>
      </c>
      <c r="DK223">
        <v>0</v>
      </c>
      <c r="DL223" t="s">
        <v>3</v>
      </c>
      <c r="DM223">
        <v>0</v>
      </c>
      <c r="DN223" t="s">
        <v>3</v>
      </c>
      <c r="DO223">
        <v>0</v>
      </c>
    </row>
    <row r="224" spans="1:119" x14ac:dyDescent="0.2">
      <c r="A224">
        <f>ROW(Source!A270)</f>
        <v>270</v>
      </c>
      <c r="B224">
        <v>94798619</v>
      </c>
      <c r="C224">
        <v>94799907</v>
      </c>
      <c r="D224">
        <v>37802541</v>
      </c>
      <c r="E224">
        <v>1</v>
      </c>
      <c r="F224">
        <v>1</v>
      </c>
      <c r="G224">
        <v>1</v>
      </c>
      <c r="H224">
        <v>2</v>
      </c>
      <c r="I224" t="s">
        <v>830</v>
      </c>
      <c r="J224" t="s">
        <v>831</v>
      </c>
      <c r="K224" t="s">
        <v>832</v>
      </c>
      <c r="L224">
        <v>1368</v>
      </c>
      <c r="N224">
        <v>1011</v>
      </c>
      <c r="O224" t="s">
        <v>700</v>
      </c>
      <c r="P224" t="s">
        <v>700</v>
      </c>
      <c r="Q224">
        <v>1</v>
      </c>
      <c r="W224">
        <v>0</v>
      </c>
      <c r="X224">
        <v>-946971640</v>
      </c>
      <c r="Y224">
        <f t="shared" si="97"/>
        <v>0.01</v>
      </c>
      <c r="AA224">
        <v>0</v>
      </c>
      <c r="AB224">
        <v>9.6199999999999992</v>
      </c>
      <c r="AC224">
        <v>0</v>
      </c>
      <c r="AD224">
        <v>0</v>
      </c>
      <c r="AE224">
        <v>0</v>
      </c>
      <c r="AF224">
        <v>1.85</v>
      </c>
      <c r="AG224">
        <v>0</v>
      </c>
      <c r="AH224">
        <v>0</v>
      </c>
      <c r="AI224">
        <v>1</v>
      </c>
      <c r="AJ224">
        <v>5.2</v>
      </c>
      <c r="AK224">
        <v>35.270000000000003</v>
      </c>
      <c r="AL224">
        <v>1</v>
      </c>
      <c r="AM224">
        <v>2</v>
      </c>
      <c r="AN224">
        <v>0</v>
      </c>
      <c r="AO224">
        <v>1</v>
      </c>
      <c r="AP224">
        <v>1</v>
      </c>
      <c r="AQ224">
        <v>0</v>
      </c>
      <c r="AR224">
        <v>0</v>
      </c>
      <c r="AS224" t="s">
        <v>3</v>
      </c>
      <c r="AT224">
        <v>0.01</v>
      </c>
      <c r="AU224" t="s">
        <v>3</v>
      </c>
      <c r="AV224">
        <v>0</v>
      </c>
      <c r="AW224">
        <v>2</v>
      </c>
      <c r="AX224">
        <v>94799911</v>
      </c>
      <c r="AY224">
        <v>1</v>
      </c>
      <c r="AZ224">
        <v>0</v>
      </c>
      <c r="BA224">
        <v>224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V224">
        <v>0</v>
      </c>
      <c r="CW224">
        <f>ROUND(Y224*Source!I270*DO224,9)</f>
        <v>0</v>
      </c>
      <c r="CX224">
        <f>ROUND(Y224*Source!I270,9)</f>
        <v>0</v>
      </c>
      <c r="CY224">
        <f>AB224</f>
        <v>9.6199999999999992</v>
      </c>
      <c r="CZ224">
        <f>AF224</f>
        <v>1.85</v>
      </c>
      <c r="DA224">
        <f>AJ224</f>
        <v>5.2</v>
      </c>
      <c r="DB224">
        <f t="shared" si="98"/>
        <v>0.02</v>
      </c>
      <c r="DC224">
        <f t="shared" si="99"/>
        <v>0</v>
      </c>
      <c r="DD224" t="s">
        <v>3</v>
      </c>
      <c r="DE224" t="s">
        <v>3</v>
      </c>
      <c r="DF224">
        <f t="shared" si="100"/>
        <v>0</v>
      </c>
      <c r="DG224">
        <f>ROUND(ROUND(AF224*AJ224,2)*CX224,2)</f>
        <v>0</v>
      </c>
      <c r="DH224">
        <f>ROUND(ROUND(AG224*AK224,2)*CX224,2)</f>
        <v>0</v>
      </c>
      <c r="DI224">
        <f t="shared" si="83"/>
        <v>0</v>
      </c>
      <c r="DJ224">
        <f>DG224</f>
        <v>0</v>
      </c>
      <c r="DK224">
        <v>0</v>
      </c>
      <c r="DL224" t="s">
        <v>3</v>
      </c>
      <c r="DM224">
        <v>0</v>
      </c>
      <c r="DN224" t="s">
        <v>3</v>
      </c>
      <c r="DO224">
        <v>0</v>
      </c>
    </row>
    <row r="225" spans="1:119" x14ac:dyDescent="0.2">
      <c r="A225">
        <f>ROW(Source!A270)</f>
        <v>270</v>
      </c>
      <c r="B225">
        <v>94798619</v>
      </c>
      <c r="C225">
        <v>94799907</v>
      </c>
      <c r="D225">
        <v>37804211</v>
      </c>
      <c r="E225">
        <v>1</v>
      </c>
      <c r="F225">
        <v>1</v>
      </c>
      <c r="G225">
        <v>1</v>
      </c>
      <c r="H225">
        <v>2</v>
      </c>
      <c r="I225" t="s">
        <v>928</v>
      </c>
      <c r="J225" t="s">
        <v>929</v>
      </c>
      <c r="K225" t="s">
        <v>930</v>
      </c>
      <c r="L225">
        <v>1368</v>
      </c>
      <c r="N225">
        <v>1011</v>
      </c>
      <c r="O225" t="s">
        <v>700</v>
      </c>
      <c r="P225" t="s">
        <v>700</v>
      </c>
      <c r="Q225">
        <v>1</v>
      </c>
      <c r="W225">
        <v>0</v>
      </c>
      <c r="X225">
        <v>-244626325</v>
      </c>
      <c r="Y225">
        <f t="shared" si="97"/>
        <v>1.1200000000000001</v>
      </c>
      <c r="AA225">
        <v>0</v>
      </c>
      <c r="AB225">
        <v>43.92</v>
      </c>
      <c r="AC225">
        <v>0</v>
      </c>
      <c r="AD225">
        <v>0</v>
      </c>
      <c r="AE225">
        <v>0</v>
      </c>
      <c r="AF225">
        <v>7.52</v>
      </c>
      <c r="AG225">
        <v>0</v>
      </c>
      <c r="AH225">
        <v>0</v>
      </c>
      <c r="AI225">
        <v>1</v>
      </c>
      <c r="AJ225">
        <v>5.84</v>
      </c>
      <c r="AK225">
        <v>35.270000000000003</v>
      </c>
      <c r="AL225">
        <v>1</v>
      </c>
      <c r="AM225">
        <v>2</v>
      </c>
      <c r="AN225">
        <v>0</v>
      </c>
      <c r="AO225">
        <v>1</v>
      </c>
      <c r="AP225">
        <v>1</v>
      </c>
      <c r="AQ225">
        <v>0</v>
      </c>
      <c r="AR225">
        <v>0</v>
      </c>
      <c r="AS225" t="s">
        <v>3</v>
      </c>
      <c r="AT225">
        <v>1.1200000000000001</v>
      </c>
      <c r="AU225" t="s">
        <v>3</v>
      </c>
      <c r="AV225">
        <v>0</v>
      </c>
      <c r="AW225">
        <v>2</v>
      </c>
      <c r="AX225">
        <v>94799912</v>
      </c>
      <c r="AY225">
        <v>1</v>
      </c>
      <c r="AZ225">
        <v>0</v>
      </c>
      <c r="BA225">
        <v>225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V225">
        <v>0</v>
      </c>
      <c r="CW225">
        <f>ROUND(Y225*Source!I270*DO225,9)</f>
        <v>0</v>
      </c>
      <c r="CX225">
        <f>ROUND(Y225*Source!I270,9)</f>
        <v>0</v>
      </c>
      <c r="CY225">
        <f>AB225</f>
        <v>43.92</v>
      </c>
      <c r="CZ225">
        <f>AF225</f>
        <v>7.52</v>
      </c>
      <c r="DA225">
        <f>AJ225</f>
        <v>5.84</v>
      </c>
      <c r="DB225">
        <f t="shared" si="98"/>
        <v>8.42</v>
      </c>
      <c r="DC225">
        <f t="shared" si="99"/>
        <v>0</v>
      </c>
      <c r="DD225" t="s">
        <v>3</v>
      </c>
      <c r="DE225" t="s">
        <v>3</v>
      </c>
      <c r="DF225">
        <f t="shared" si="100"/>
        <v>0</v>
      </c>
      <c r="DG225">
        <f>ROUND(ROUND(AF225*AJ225,2)*CX225,2)</f>
        <v>0</v>
      </c>
      <c r="DH225">
        <f>ROUND(ROUND(AG225*AK225,2)*CX225,2)</f>
        <v>0</v>
      </c>
      <c r="DI225">
        <f t="shared" si="83"/>
        <v>0</v>
      </c>
      <c r="DJ225">
        <f>DG225</f>
        <v>0</v>
      </c>
      <c r="DK225">
        <v>0</v>
      </c>
      <c r="DL225" t="s">
        <v>3</v>
      </c>
      <c r="DM225">
        <v>0</v>
      </c>
      <c r="DN225" t="s">
        <v>3</v>
      </c>
      <c r="DO225">
        <v>0</v>
      </c>
    </row>
    <row r="226" spans="1:119" x14ac:dyDescent="0.2">
      <c r="A226">
        <f>ROW(Source!A270)</f>
        <v>270</v>
      </c>
      <c r="B226">
        <v>94798619</v>
      </c>
      <c r="C226">
        <v>94799907</v>
      </c>
      <c r="D226">
        <v>37804456</v>
      </c>
      <c r="E226">
        <v>1</v>
      </c>
      <c r="F226">
        <v>1</v>
      </c>
      <c r="G226">
        <v>1</v>
      </c>
      <c r="H226">
        <v>2</v>
      </c>
      <c r="I226" t="s">
        <v>713</v>
      </c>
      <c r="J226" t="s">
        <v>714</v>
      </c>
      <c r="K226" t="s">
        <v>715</v>
      </c>
      <c r="L226">
        <v>1368</v>
      </c>
      <c r="N226">
        <v>1011</v>
      </c>
      <c r="O226" t="s">
        <v>700</v>
      </c>
      <c r="P226" t="s">
        <v>700</v>
      </c>
      <c r="Q226">
        <v>1</v>
      </c>
      <c r="W226">
        <v>0</v>
      </c>
      <c r="X226">
        <v>-671646184</v>
      </c>
      <c r="Y226">
        <f t="shared" si="97"/>
        <v>0.01</v>
      </c>
      <c r="AA226">
        <v>0</v>
      </c>
      <c r="AB226">
        <v>1305.74</v>
      </c>
      <c r="AC226">
        <v>365.04</v>
      </c>
      <c r="AD226">
        <v>0</v>
      </c>
      <c r="AE226">
        <v>0</v>
      </c>
      <c r="AF226">
        <v>91.76</v>
      </c>
      <c r="AG226">
        <v>10.35</v>
      </c>
      <c r="AH226">
        <v>0</v>
      </c>
      <c r="AI226">
        <v>1</v>
      </c>
      <c r="AJ226">
        <v>14.23</v>
      </c>
      <c r="AK226">
        <v>35.270000000000003</v>
      </c>
      <c r="AL226">
        <v>1</v>
      </c>
      <c r="AM226">
        <v>2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3</v>
      </c>
      <c r="AT226">
        <v>0.01</v>
      </c>
      <c r="AU226" t="s">
        <v>3</v>
      </c>
      <c r="AV226">
        <v>0</v>
      </c>
      <c r="AW226">
        <v>2</v>
      </c>
      <c r="AX226">
        <v>94799913</v>
      </c>
      <c r="AY226">
        <v>1</v>
      </c>
      <c r="AZ226">
        <v>0</v>
      </c>
      <c r="BA226">
        <v>226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V226">
        <v>0</v>
      </c>
      <c r="CW226">
        <f>ROUND(Y226*Source!I270*DO226,9)</f>
        <v>0</v>
      </c>
      <c r="CX226">
        <f>ROUND(Y226*Source!I270,9)</f>
        <v>0</v>
      </c>
      <c r="CY226">
        <f>AB226</f>
        <v>1305.74</v>
      </c>
      <c r="CZ226">
        <f>AF226</f>
        <v>91.76</v>
      </c>
      <c r="DA226">
        <f>AJ226</f>
        <v>14.23</v>
      </c>
      <c r="DB226">
        <f t="shared" si="98"/>
        <v>0.92</v>
      </c>
      <c r="DC226">
        <f t="shared" si="99"/>
        <v>0.1</v>
      </c>
      <c r="DD226" t="s">
        <v>3</v>
      </c>
      <c r="DE226" t="s">
        <v>3</v>
      </c>
      <c r="DF226">
        <f t="shared" si="100"/>
        <v>0</v>
      </c>
      <c r="DG226">
        <f>ROUND(ROUND(AF226*AJ226,2)*CX226,2)</f>
        <v>0</v>
      </c>
      <c r="DH226">
        <f>ROUND(ROUND(AG226*AK226,2)*CX226,2)</f>
        <v>0</v>
      </c>
      <c r="DI226">
        <f t="shared" si="83"/>
        <v>0</v>
      </c>
      <c r="DJ226">
        <f>DG226</f>
        <v>0</v>
      </c>
      <c r="DK226">
        <v>0</v>
      </c>
      <c r="DL226" t="s">
        <v>3</v>
      </c>
      <c r="DM226">
        <v>0</v>
      </c>
      <c r="DN226" t="s">
        <v>3</v>
      </c>
      <c r="DO226">
        <v>0</v>
      </c>
    </row>
    <row r="227" spans="1:119" x14ac:dyDescent="0.2">
      <c r="A227">
        <f>ROW(Source!A270)</f>
        <v>270</v>
      </c>
      <c r="B227">
        <v>94798619</v>
      </c>
      <c r="C227">
        <v>94799907</v>
      </c>
      <c r="D227">
        <v>37744698</v>
      </c>
      <c r="E227">
        <v>1</v>
      </c>
      <c r="F227">
        <v>1</v>
      </c>
      <c r="G227">
        <v>1</v>
      </c>
      <c r="H227">
        <v>3</v>
      </c>
      <c r="I227" t="s">
        <v>178</v>
      </c>
      <c r="J227" t="s">
        <v>180</v>
      </c>
      <c r="K227" t="s">
        <v>179</v>
      </c>
      <c r="L227">
        <v>1348</v>
      </c>
      <c r="N227">
        <v>1009</v>
      </c>
      <c r="O227" t="s">
        <v>170</v>
      </c>
      <c r="P227" t="s">
        <v>170</v>
      </c>
      <c r="Q227">
        <v>1000</v>
      </c>
      <c r="W227">
        <v>0</v>
      </c>
      <c r="X227">
        <v>-763406924</v>
      </c>
      <c r="Y227">
        <f t="shared" si="97"/>
        <v>1.2E-2</v>
      </c>
      <c r="AA227">
        <v>80130.600000000006</v>
      </c>
      <c r="AB227">
        <v>0</v>
      </c>
      <c r="AC227">
        <v>0</v>
      </c>
      <c r="AD227">
        <v>0</v>
      </c>
      <c r="AE227">
        <v>15620</v>
      </c>
      <c r="AF227">
        <v>0</v>
      </c>
      <c r="AG227">
        <v>0</v>
      </c>
      <c r="AH227">
        <v>0</v>
      </c>
      <c r="AI227">
        <v>5.13</v>
      </c>
      <c r="AJ227">
        <v>1</v>
      </c>
      <c r="AK227">
        <v>1</v>
      </c>
      <c r="AL227">
        <v>1</v>
      </c>
      <c r="AM227">
        <v>2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3</v>
      </c>
      <c r="AT227">
        <v>1.2E-2</v>
      </c>
      <c r="AU227" t="s">
        <v>3</v>
      </c>
      <c r="AV227">
        <v>0</v>
      </c>
      <c r="AW227">
        <v>2</v>
      </c>
      <c r="AX227">
        <v>94799914</v>
      </c>
      <c r="AY227">
        <v>1</v>
      </c>
      <c r="AZ227">
        <v>0</v>
      </c>
      <c r="BA227">
        <v>227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V227">
        <v>0</v>
      </c>
      <c r="CW227">
        <v>0</v>
      </c>
      <c r="CX227">
        <f>ROUND(Y227*Source!I270,9)</f>
        <v>0</v>
      </c>
      <c r="CY227">
        <f>AA227</f>
        <v>80130.600000000006</v>
      </c>
      <c r="CZ227">
        <f>AE227</f>
        <v>15620</v>
      </c>
      <c r="DA227">
        <f>AI227</f>
        <v>5.13</v>
      </c>
      <c r="DB227">
        <f t="shared" si="98"/>
        <v>187.44</v>
      </c>
      <c r="DC227">
        <f t="shared" si="99"/>
        <v>0</v>
      </c>
      <c r="DD227" t="s">
        <v>3</v>
      </c>
      <c r="DE227" t="s">
        <v>3</v>
      </c>
      <c r="DF227">
        <f>ROUND(ROUND(AE227*AI227,2)*CX227,2)</f>
        <v>0</v>
      </c>
      <c r="DG227">
        <f>ROUND(ROUND(AF227,2)*CX227,2)</f>
        <v>0</v>
      </c>
      <c r="DH227">
        <f>ROUND(ROUND(AG227,2)*CX227,2)</f>
        <v>0</v>
      </c>
      <c r="DI227">
        <f t="shared" si="83"/>
        <v>0</v>
      </c>
      <c r="DJ227">
        <f>DF227</f>
        <v>0</v>
      </c>
      <c r="DK227">
        <v>0</v>
      </c>
      <c r="DL227" t="s">
        <v>3</v>
      </c>
      <c r="DM227">
        <v>0</v>
      </c>
      <c r="DN227" t="s">
        <v>3</v>
      </c>
      <c r="DO227">
        <v>0</v>
      </c>
    </row>
    <row r="228" spans="1:119" x14ac:dyDescent="0.2">
      <c r="A228">
        <f>ROW(Source!A270)</f>
        <v>270</v>
      </c>
      <c r="B228">
        <v>94798619</v>
      </c>
      <c r="C228">
        <v>94799907</v>
      </c>
      <c r="D228">
        <v>37745090</v>
      </c>
      <c r="E228">
        <v>1</v>
      </c>
      <c r="F228">
        <v>1</v>
      </c>
      <c r="G228">
        <v>1</v>
      </c>
      <c r="H228">
        <v>3</v>
      </c>
      <c r="I228" t="s">
        <v>931</v>
      </c>
      <c r="J228" t="s">
        <v>932</v>
      </c>
      <c r="K228" t="s">
        <v>933</v>
      </c>
      <c r="L228">
        <v>1348</v>
      </c>
      <c r="N228">
        <v>1009</v>
      </c>
      <c r="O228" t="s">
        <v>170</v>
      </c>
      <c r="P228" t="s">
        <v>170</v>
      </c>
      <c r="Q228">
        <v>1000</v>
      </c>
      <c r="W228">
        <v>0</v>
      </c>
      <c r="X228">
        <v>1342925960</v>
      </c>
      <c r="Y228">
        <f t="shared" si="97"/>
        <v>2E-3</v>
      </c>
      <c r="AA228">
        <v>106807.2</v>
      </c>
      <c r="AB228">
        <v>0</v>
      </c>
      <c r="AC228">
        <v>0</v>
      </c>
      <c r="AD228">
        <v>0</v>
      </c>
      <c r="AE228">
        <v>7640</v>
      </c>
      <c r="AF228">
        <v>0</v>
      </c>
      <c r="AG228">
        <v>0</v>
      </c>
      <c r="AH228">
        <v>0</v>
      </c>
      <c r="AI228">
        <v>13.98</v>
      </c>
      <c r="AJ228">
        <v>1</v>
      </c>
      <c r="AK228">
        <v>1</v>
      </c>
      <c r="AL228">
        <v>1</v>
      </c>
      <c r="AM228">
        <v>2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3</v>
      </c>
      <c r="AT228">
        <v>2E-3</v>
      </c>
      <c r="AU228" t="s">
        <v>3</v>
      </c>
      <c r="AV228">
        <v>0</v>
      </c>
      <c r="AW228">
        <v>2</v>
      </c>
      <c r="AX228">
        <v>94799915</v>
      </c>
      <c r="AY228">
        <v>1</v>
      </c>
      <c r="AZ228">
        <v>0</v>
      </c>
      <c r="BA228">
        <v>228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V228">
        <v>0</v>
      </c>
      <c r="CW228">
        <v>0</v>
      </c>
      <c r="CX228">
        <f>ROUND(Y228*Source!I270,9)</f>
        <v>0</v>
      </c>
      <c r="CY228">
        <f>AA228</f>
        <v>106807.2</v>
      </c>
      <c r="CZ228">
        <f>AE228</f>
        <v>7640</v>
      </c>
      <c r="DA228">
        <f>AI228</f>
        <v>13.98</v>
      </c>
      <c r="DB228">
        <f t="shared" si="98"/>
        <v>15.28</v>
      </c>
      <c r="DC228">
        <f t="shared" si="99"/>
        <v>0</v>
      </c>
      <c r="DD228" t="s">
        <v>3</v>
      </c>
      <c r="DE228" t="s">
        <v>3</v>
      </c>
      <c r="DF228">
        <f>ROUND(ROUND(AE228*AI228,2)*CX228,2)</f>
        <v>0</v>
      </c>
      <c r="DG228">
        <f>ROUND(ROUND(AF228,2)*CX228,2)</f>
        <v>0</v>
      </c>
      <c r="DH228">
        <f>ROUND(ROUND(AG228,2)*CX228,2)</f>
        <v>0</v>
      </c>
      <c r="DI228">
        <f t="shared" si="83"/>
        <v>0</v>
      </c>
      <c r="DJ228">
        <f>DF228</f>
        <v>0</v>
      </c>
      <c r="DK228">
        <v>0</v>
      </c>
      <c r="DL228" t="s">
        <v>3</v>
      </c>
      <c r="DM228">
        <v>0</v>
      </c>
      <c r="DN228" t="s">
        <v>3</v>
      </c>
      <c r="DO228">
        <v>0</v>
      </c>
    </row>
    <row r="229" spans="1:119" x14ac:dyDescent="0.2">
      <c r="A229">
        <f>ROW(Source!A315)</f>
        <v>315</v>
      </c>
      <c r="B229">
        <v>94798619</v>
      </c>
      <c r="C229">
        <v>94799916</v>
      </c>
      <c r="D229">
        <v>23129555</v>
      </c>
      <c r="E229">
        <v>1</v>
      </c>
      <c r="F229">
        <v>1</v>
      </c>
      <c r="G229">
        <v>1</v>
      </c>
      <c r="H229">
        <v>1</v>
      </c>
      <c r="I229" t="s">
        <v>701</v>
      </c>
      <c r="J229" t="s">
        <v>3</v>
      </c>
      <c r="K229" t="s">
        <v>702</v>
      </c>
      <c r="L229">
        <v>1369</v>
      </c>
      <c r="N229">
        <v>1013</v>
      </c>
      <c r="O229" t="s">
        <v>696</v>
      </c>
      <c r="P229" t="s">
        <v>696</v>
      </c>
      <c r="Q229">
        <v>1</v>
      </c>
      <c r="W229">
        <v>0</v>
      </c>
      <c r="X229">
        <v>1250814213</v>
      </c>
      <c r="Y229">
        <f t="shared" si="97"/>
        <v>180</v>
      </c>
      <c r="AA229">
        <v>0</v>
      </c>
      <c r="AB229">
        <v>0</v>
      </c>
      <c r="AC229">
        <v>0</v>
      </c>
      <c r="AD229">
        <v>7.29</v>
      </c>
      <c r="AE229">
        <v>0</v>
      </c>
      <c r="AF229">
        <v>0</v>
      </c>
      <c r="AG229">
        <v>0</v>
      </c>
      <c r="AH229">
        <v>7.29</v>
      </c>
      <c r="AI229">
        <v>1</v>
      </c>
      <c r="AJ229">
        <v>1</v>
      </c>
      <c r="AK229">
        <v>1</v>
      </c>
      <c r="AL229">
        <v>1</v>
      </c>
      <c r="AM229">
        <v>-2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3</v>
      </c>
      <c r="AT229">
        <v>180</v>
      </c>
      <c r="AU229" t="s">
        <v>3</v>
      </c>
      <c r="AV229">
        <v>1</v>
      </c>
      <c r="AW229">
        <v>2</v>
      </c>
      <c r="AX229">
        <v>94799917</v>
      </c>
      <c r="AY229">
        <v>1</v>
      </c>
      <c r="AZ229">
        <v>0</v>
      </c>
      <c r="BA229">
        <v>229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U229">
        <f>ROUND(AT229*Source!I315*AH229*AL229,2)</f>
        <v>47.24</v>
      </c>
      <c r="CV229">
        <f>ROUND(Y229*Source!I315,9)</f>
        <v>6.48</v>
      </c>
      <c r="CW229">
        <v>0</v>
      </c>
      <c r="CX229">
        <f>ROUND(Y229*Source!I315,9)</f>
        <v>6.48</v>
      </c>
      <c r="CY229">
        <f>AD229</f>
        <v>7.29</v>
      </c>
      <c r="CZ229">
        <f>AH229</f>
        <v>7.29</v>
      </c>
      <c r="DA229">
        <f>AL229</f>
        <v>1</v>
      </c>
      <c r="DB229">
        <f t="shared" si="98"/>
        <v>1312.2</v>
      </c>
      <c r="DC229">
        <f t="shared" si="99"/>
        <v>0</v>
      </c>
      <c r="DD229" t="s">
        <v>3</v>
      </c>
      <c r="DE229" t="s">
        <v>3</v>
      </c>
      <c r="DF229">
        <f>ROUND(ROUND(AE229,2)*CX229,2)</f>
        <v>0</v>
      </c>
      <c r="DG229">
        <f>ROUND(ROUND(AF229,2)*CX229,2)</f>
        <v>0</v>
      </c>
      <c r="DH229">
        <f>ROUND(ROUND(AG229,2)*CX229,2)</f>
        <v>0</v>
      </c>
      <c r="DI229">
        <f t="shared" si="83"/>
        <v>47.24</v>
      </c>
      <c r="DJ229">
        <f>DI229</f>
        <v>47.24</v>
      </c>
      <c r="DK229">
        <v>0</v>
      </c>
      <c r="DL229" t="s">
        <v>3</v>
      </c>
      <c r="DM229">
        <v>0</v>
      </c>
      <c r="DN229" t="s">
        <v>3</v>
      </c>
      <c r="DO229">
        <v>0</v>
      </c>
    </row>
    <row r="230" spans="1:119" x14ac:dyDescent="0.2">
      <c r="A230">
        <f>ROW(Source!A315)</f>
        <v>315</v>
      </c>
      <c r="B230">
        <v>94798619</v>
      </c>
      <c r="C230">
        <v>94799916</v>
      </c>
      <c r="D230">
        <v>121548</v>
      </c>
      <c r="E230">
        <v>1</v>
      </c>
      <c r="F230">
        <v>1</v>
      </c>
      <c r="G230">
        <v>1</v>
      </c>
      <c r="H230">
        <v>1</v>
      </c>
      <c r="I230" t="s">
        <v>28</v>
      </c>
      <c r="J230" t="s">
        <v>3</v>
      </c>
      <c r="K230" t="s">
        <v>705</v>
      </c>
      <c r="L230">
        <v>608254</v>
      </c>
      <c r="N230">
        <v>1013</v>
      </c>
      <c r="O230" t="s">
        <v>706</v>
      </c>
      <c r="P230" t="s">
        <v>706</v>
      </c>
      <c r="Q230">
        <v>1</v>
      </c>
      <c r="W230">
        <v>0</v>
      </c>
      <c r="X230">
        <v>-185737400</v>
      </c>
      <c r="Y230">
        <f t="shared" si="97"/>
        <v>18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1</v>
      </c>
      <c r="AJ230">
        <v>1</v>
      </c>
      <c r="AK230">
        <v>1</v>
      </c>
      <c r="AL230">
        <v>1</v>
      </c>
      <c r="AM230">
        <v>-2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3</v>
      </c>
      <c r="AT230">
        <v>18</v>
      </c>
      <c r="AU230" t="s">
        <v>3</v>
      </c>
      <c r="AV230">
        <v>2</v>
      </c>
      <c r="AW230">
        <v>2</v>
      </c>
      <c r="AX230">
        <v>94799918</v>
      </c>
      <c r="AY230">
        <v>1</v>
      </c>
      <c r="AZ230">
        <v>0</v>
      </c>
      <c r="BA230">
        <v>230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V230">
        <v>0</v>
      </c>
      <c r="CW230">
        <v>0</v>
      </c>
      <c r="CX230">
        <f>ROUND(Y230*Source!I315,9)</f>
        <v>0.64800000000000002</v>
      </c>
      <c r="CY230">
        <f>AD230</f>
        <v>0</v>
      </c>
      <c r="CZ230">
        <f>AH230</f>
        <v>0</v>
      </c>
      <c r="DA230">
        <f>AL230</f>
        <v>1</v>
      </c>
      <c r="DB230">
        <f t="shared" si="98"/>
        <v>0</v>
      </c>
      <c r="DC230">
        <f t="shared" si="99"/>
        <v>0</v>
      </c>
      <c r="DD230" t="s">
        <v>3</v>
      </c>
      <c r="DE230" t="s">
        <v>3</v>
      </c>
      <c r="DF230">
        <f>ROUND(ROUND(AE230,2)*CX230,2)</f>
        <v>0</v>
      </c>
      <c r="DG230">
        <f>ROUND(ROUND(AF230,2)*CX230,2)</f>
        <v>0</v>
      </c>
      <c r="DH230">
        <f>ROUND(ROUND(AG230,2)*CX230,2)</f>
        <v>0</v>
      </c>
      <c r="DI230">
        <f t="shared" si="83"/>
        <v>0</v>
      </c>
      <c r="DJ230">
        <f>DI230</f>
        <v>0</v>
      </c>
      <c r="DK230">
        <v>0</v>
      </c>
      <c r="DL230" t="s">
        <v>3</v>
      </c>
      <c r="DM230">
        <v>0</v>
      </c>
      <c r="DN230" t="s">
        <v>3</v>
      </c>
      <c r="DO230">
        <v>0</v>
      </c>
    </row>
    <row r="231" spans="1:119" x14ac:dyDescent="0.2">
      <c r="A231">
        <f>ROW(Source!A315)</f>
        <v>315</v>
      </c>
      <c r="B231">
        <v>94798619</v>
      </c>
      <c r="C231">
        <v>94799916</v>
      </c>
      <c r="D231">
        <v>37802359</v>
      </c>
      <c r="E231">
        <v>1</v>
      </c>
      <c r="F231">
        <v>1</v>
      </c>
      <c r="G231">
        <v>1</v>
      </c>
      <c r="H231">
        <v>2</v>
      </c>
      <c r="I231" t="s">
        <v>886</v>
      </c>
      <c r="J231" t="s">
        <v>887</v>
      </c>
      <c r="K231" t="s">
        <v>888</v>
      </c>
      <c r="L231">
        <v>1368</v>
      </c>
      <c r="N231">
        <v>1011</v>
      </c>
      <c r="O231" t="s">
        <v>700</v>
      </c>
      <c r="P231" t="s">
        <v>700</v>
      </c>
      <c r="Q231">
        <v>1</v>
      </c>
      <c r="W231">
        <v>0</v>
      </c>
      <c r="X231">
        <v>1604115853</v>
      </c>
      <c r="Y231">
        <f t="shared" si="97"/>
        <v>18</v>
      </c>
      <c r="AA231">
        <v>0</v>
      </c>
      <c r="AB231">
        <v>1247.05</v>
      </c>
      <c r="AC231">
        <v>426.77</v>
      </c>
      <c r="AD231">
        <v>0</v>
      </c>
      <c r="AE231">
        <v>0</v>
      </c>
      <c r="AF231">
        <v>103.49</v>
      </c>
      <c r="AG231">
        <v>12.1</v>
      </c>
      <c r="AH231">
        <v>0</v>
      </c>
      <c r="AI231">
        <v>1</v>
      </c>
      <c r="AJ231">
        <v>12.05</v>
      </c>
      <c r="AK231">
        <v>35.270000000000003</v>
      </c>
      <c r="AL231">
        <v>1</v>
      </c>
      <c r="AM231">
        <v>2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3</v>
      </c>
      <c r="AT231">
        <v>18</v>
      </c>
      <c r="AU231" t="s">
        <v>3</v>
      </c>
      <c r="AV231">
        <v>0</v>
      </c>
      <c r="AW231">
        <v>2</v>
      </c>
      <c r="AX231">
        <v>94799919</v>
      </c>
      <c r="AY231">
        <v>1</v>
      </c>
      <c r="AZ231">
        <v>0</v>
      </c>
      <c r="BA231">
        <v>231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V231">
        <v>0</v>
      </c>
      <c r="CW231">
        <f>ROUND(Y231*Source!I315*DO231,9)</f>
        <v>0</v>
      </c>
      <c r="CX231">
        <f>ROUND(Y231*Source!I315,9)</f>
        <v>0.64800000000000002</v>
      </c>
      <c r="CY231">
        <f>AB231</f>
        <v>1247.05</v>
      </c>
      <c r="CZ231">
        <f>AF231</f>
        <v>103.49</v>
      </c>
      <c r="DA231">
        <f>AJ231</f>
        <v>12.05</v>
      </c>
      <c r="DB231">
        <f t="shared" si="98"/>
        <v>1862.82</v>
      </c>
      <c r="DC231">
        <f t="shared" si="99"/>
        <v>217.8</v>
      </c>
      <c r="DD231" t="s">
        <v>3</v>
      </c>
      <c r="DE231" t="s">
        <v>3</v>
      </c>
      <c r="DF231">
        <f>ROUND(ROUND(AE231,2)*CX231,2)</f>
        <v>0</v>
      </c>
      <c r="DG231">
        <f>ROUND(ROUND(AF231*AJ231,2)*CX231,2)</f>
        <v>808.09</v>
      </c>
      <c r="DH231">
        <f>ROUND(ROUND(AG231*AK231,2)*CX231,2)</f>
        <v>276.55</v>
      </c>
      <c r="DI231">
        <f t="shared" si="83"/>
        <v>0</v>
      </c>
      <c r="DJ231">
        <f>DG231</f>
        <v>808.09</v>
      </c>
      <c r="DK231">
        <v>0</v>
      </c>
      <c r="DL231" t="s">
        <v>3</v>
      </c>
      <c r="DM231">
        <v>0</v>
      </c>
      <c r="DN231" t="s">
        <v>3</v>
      </c>
      <c r="DO231">
        <v>0</v>
      </c>
    </row>
    <row r="232" spans="1:119" x14ac:dyDescent="0.2">
      <c r="A232">
        <f>ROW(Source!A315)</f>
        <v>315</v>
      </c>
      <c r="B232">
        <v>94798619</v>
      </c>
      <c r="C232">
        <v>94799916</v>
      </c>
      <c r="D232">
        <v>37803001</v>
      </c>
      <c r="E232">
        <v>1</v>
      </c>
      <c r="F232">
        <v>1</v>
      </c>
      <c r="G232">
        <v>1</v>
      </c>
      <c r="H232">
        <v>2</v>
      </c>
      <c r="I232" t="s">
        <v>889</v>
      </c>
      <c r="J232" t="s">
        <v>890</v>
      </c>
      <c r="K232" t="s">
        <v>891</v>
      </c>
      <c r="L232">
        <v>1368</v>
      </c>
      <c r="N232">
        <v>1011</v>
      </c>
      <c r="O232" t="s">
        <v>700</v>
      </c>
      <c r="P232" t="s">
        <v>700</v>
      </c>
      <c r="Q232">
        <v>1</v>
      </c>
      <c r="W232">
        <v>0</v>
      </c>
      <c r="X232">
        <v>736086632</v>
      </c>
      <c r="Y232">
        <f t="shared" si="97"/>
        <v>48</v>
      </c>
      <c r="AA232">
        <v>0</v>
      </c>
      <c r="AB232">
        <v>6.26</v>
      </c>
      <c r="AC232">
        <v>0</v>
      </c>
      <c r="AD232">
        <v>0</v>
      </c>
      <c r="AE232">
        <v>0</v>
      </c>
      <c r="AF232">
        <v>0.66</v>
      </c>
      <c r="AG232">
        <v>0</v>
      </c>
      <c r="AH232">
        <v>0</v>
      </c>
      <c r="AI232">
        <v>1</v>
      </c>
      <c r="AJ232">
        <v>9.48</v>
      </c>
      <c r="AK232">
        <v>35.270000000000003</v>
      </c>
      <c r="AL232">
        <v>1</v>
      </c>
      <c r="AM232">
        <v>2</v>
      </c>
      <c r="AN232">
        <v>0</v>
      </c>
      <c r="AO232">
        <v>1</v>
      </c>
      <c r="AP232">
        <v>1</v>
      </c>
      <c r="AQ232">
        <v>0</v>
      </c>
      <c r="AR232">
        <v>0</v>
      </c>
      <c r="AS232" t="s">
        <v>3</v>
      </c>
      <c r="AT232">
        <v>48</v>
      </c>
      <c r="AU232" t="s">
        <v>3</v>
      </c>
      <c r="AV232">
        <v>0</v>
      </c>
      <c r="AW232">
        <v>2</v>
      </c>
      <c r="AX232">
        <v>94799920</v>
      </c>
      <c r="AY232">
        <v>1</v>
      </c>
      <c r="AZ232">
        <v>0</v>
      </c>
      <c r="BA232">
        <v>232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V232">
        <v>0</v>
      </c>
      <c r="CW232">
        <f>ROUND(Y232*Source!I315*DO232,9)</f>
        <v>0</v>
      </c>
      <c r="CX232">
        <f>ROUND(Y232*Source!I315,9)</f>
        <v>1.728</v>
      </c>
      <c r="CY232">
        <f>AB232</f>
        <v>6.26</v>
      </c>
      <c r="CZ232">
        <f>AF232</f>
        <v>0.66</v>
      </c>
      <c r="DA232">
        <f>AJ232</f>
        <v>9.48</v>
      </c>
      <c r="DB232">
        <f t="shared" si="98"/>
        <v>31.68</v>
      </c>
      <c r="DC232">
        <f t="shared" si="99"/>
        <v>0</v>
      </c>
      <c r="DD232" t="s">
        <v>3</v>
      </c>
      <c r="DE232" t="s">
        <v>3</v>
      </c>
      <c r="DF232">
        <f>ROUND(ROUND(AE232,2)*CX232,2)</f>
        <v>0</v>
      </c>
      <c r="DG232">
        <f>ROUND(ROUND(AF232*AJ232,2)*CX232,2)</f>
        <v>10.82</v>
      </c>
      <c r="DH232">
        <f>ROUND(ROUND(AG232*AK232,2)*CX232,2)</f>
        <v>0</v>
      </c>
      <c r="DI232">
        <f t="shared" si="83"/>
        <v>0</v>
      </c>
      <c r="DJ232">
        <f>DG232</f>
        <v>10.82</v>
      </c>
      <c r="DK232">
        <v>0</v>
      </c>
      <c r="DL232" t="s">
        <v>3</v>
      </c>
      <c r="DM232">
        <v>0</v>
      </c>
      <c r="DN232" t="s">
        <v>3</v>
      </c>
      <c r="DO232">
        <v>0</v>
      </c>
    </row>
    <row r="233" spans="1:119" x14ac:dyDescent="0.2">
      <c r="A233">
        <f>ROW(Source!A315)</f>
        <v>315</v>
      </c>
      <c r="B233">
        <v>94798619</v>
      </c>
      <c r="C233">
        <v>94799916</v>
      </c>
      <c r="D233">
        <v>37804456</v>
      </c>
      <c r="E233">
        <v>1</v>
      </c>
      <c r="F233">
        <v>1</v>
      </c>
      <c r="G233">
        <v>1</v>
      </c>
      <c r="H233">
        <v>2</v>
      </c>
      <c r="I233" t="s">
        <v>713</v>
      </c>
      <c r="J233" t="s">
        <v>714</v>
      </c>
      <c r="K233" t="s">
        <v>715</v>
      </c>
      <c r="L233">
        <v>1368</v>
      </c>
      <c r="N233">
        <v>1011</v>
      </c>
      <c r="O233" t="s">
        <v>700</v>
      </c>
      <c r="P233" t="s">
        <v>700</v>
      </c>
      <c r="Q233">
        <v>1</v>
      </c>
      <c r="W233">
        <v>0</v>
      </c>
      <c r="X233">
        <v>-671646184</v>
      </c>
      <c r="Y233">
        <f t="shared" si="97"/>
        <v>0.13</v>
      </c>
      <c r="AA233">
        <v>0</v>
      </c>
      <c r="AB233">
        <v>1305.74</v>
      </c>
      <c r="AC233">
        <v>365.04</v>
      </c>
      <c r="AD233">
        <v>0</v>
      </c>
      <c r="AE233">
        <v>0</v>
      </c>
      <c r="AF233">
        <v>91.76</v>
      </c>
      <c r="AG233">
        <v>10.35</v>
      </c>
      <c r="AH233">
        <v>0</v>
      </c>
      <c r="AI233">
        <v>1</v>
      </c>
      <c r="AJ233">
        <v>14.23</v>
      </c>
      <c r="AK233">
        <v>35.270000000000003</v>
      </c>
      <c r="AL233">
        <v>1</v>
      </c>
      <c r="AM233">
        <v>2</v>
      </c>
      <c r="AN233">
        <v>0</v>
      </c>
      <c r="AO233">
        <v>1</v>
      </c>
      <c r="AP233">
        <v>1</v>
      </c>
      <c r="AQ233">
        <v>0</v>
      </c>
      <c r="AR233">
        <v>0</v>
      </c>
      <c r="AS233" t="s">
        <v>3</v>
      </c>
      <c r="AT233">
        <v>0.13</v>
      </c>
      <c r="AU233" t="s">
        <v>3</v>
      </c>
      <c r="AV233">
        <v>0</v>
      </c>
      <c r="AW233">
        <v>2</v>
      </c>
      <c r="AX233">
        <v>94799921</v>
      </c>
      <c r="AY233">
        <v>1</v>
      </c>
      <c r="AZ233">
        <v>0</v>
      </c>
      <c r="BA233">
        <v>233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V233">
        <v>0</v>
      </c>
      <c r="CW233">
        <f>ROUND(Y233*Source!I315*DO233,9)</f>
        <v>0</v>
      </c>
      <c r="CX233">
        <f>ROUND(Y233*Source!I315,9)</f>
        <v>4.6800000000000001E-3</v>
      </c>
      <c r="CY233">
        <f>AB233</f>
        <v>1305.74</v>
      </c>
      <c r="CZ233">
        <f>AF233</f>
        <v>91.76</v>
      </c>
      <c r="DA233">
        <f>AJ233</f>
        <v>14.23</v>
      </c>
      <c r="DB233">
        <f t="shared" si="98"/>
        <v>11.93</v>
      </c>
      <c r="DC233">
        <f t="shared" si="99"/>
        <v>1.35</v>
      </c>
      <c r="DD233" t="s">
        <v>3</v>
      </c>
      <c r="DE233" t="s">
        <v>3</v>
      </c>
      <c r="DF233">
        <f>ROUND(ROUND(AE233,2)*CX233,2)</f>
        <v>0</v>
      </c>
      <c r="DG233">
        <f>ROUND(ROUND(AF233*AJ233,2)*CX233,2)</f>
        <v>6.11</v>
      </c>
      <c r="DH233">
        <f>ROUND(ROUND(AG233*AK233,2)*CX233,2)</f>
        <v>1.71</v>
      </c>
      <c r="DI233">
        <f t="shared" si="83"/>
        <v>0</v>
      </c>
      <c r="DJ233">
        <f>DG233</f>
        <v>6.11</v>
      </c>
      <c r="DK233">
        <v>0</v>
      </c>
      <c r="DL233" t="s">
        <v>3</v>
      </c>
      <c r="DM233">
        <v>0</v>
      </c>
      <c r="DN233" t="s">
        <v>3</v>
      </c>
      <c r="DO233">
        <v>0</v>
      </c>
    </row>
    <row r="234" spans="1:119" x14ac:dyDescent="0.2">
      <c r="A234">
        <f>ROW(Source!A315)</f>
        <v>315</v>
      </c>
      <c r="B234">
        <v>94798619</v>
      </c>
      <c r="C234">
        <v>94799916</v>
      </c>
      <c r="D234">
        <v>37730282</v>
      </c>
      <c r="E234">
        <v>1</v>
      </c>
      <c r="F234">
        <v>1</v>
      </c>
      <c r="G234">
        <v>1</v>
      </c>
      <c r="H234">
        <v>3</v>
      </c>
      <c r="I234" t="s">
        <v>892</v>
      </c>
      <c r="J234" t="s">
        <v>893</v>
      </c>
      <c r="K234" t="s">
        <v>894</v>
      </c>
      <c r="L234">
        <v>1327</v>
      </c>
      <c r="N234">
        <v>1005</v>
      </c>
      <c r="O234" t="s">
        <v>201</v>
      </c>
      <c r="P234" t="s">
        <v>201</v>
      </c>
      <c r="Q234">
        <v>1</v>
      </c>
      <c r="W234">
        <v>0</v>
      </c>
      <c r="X234">
        <v>-602309479</v>
      </c>
      <c r="Y234">
        <f t="shared" si="97"/>
        <v>250</v>
      </c>
      <c r="AA234">
        <v>52.22</v>
      </c>
      <c r="AB234">
        <v>0</v>
      </c>
      <c r="AC234">
        <v>0</v>
      </c>
      <c r="AD234">
        <v>0</v>
      </c>
      <c r="AE234">
        <v>10.199999999999999</v>
      </c>
      <c r="AF234">
        <v>0</v>
      </c>
      <c r="AG234">
        <v>0</v>
      </c>
      <c r="AH234">
        <v>0</v>
      </c>
      <c r="AI234">
        <v>5.12</v>
      </c>
      <c r="AJ234">
        <v>1</v>
      </c>
      <c r="AK234">
        <v>1</v>
      </c>
      <c r="AL234">
        <v>1</v>
      </c>
      <c r="AM234">
        <v>2</v>
      </c>
      <c r="AN234">
        <v>0</v>
      </c>
      <c r="AO234">
        <v>1</v>
      </c>
      <c r="AP234">
        <v>1</v>
      </c>
      <c r="AQ234">
        <v>0</v>
      </c>
      <c r="AR234">
        <v>0</v>
      </c>
      <c r="AS234" t="s">
        <v>3</v>
      </c>
      <c r="AT234">
        <v>250</v>
      </c>
      <c r="AU234" t="s">
        <v>3</v>
      </c>
      <c r="AV234">
        <v>0</v>
      </c>
      <c r="AW234">
        <v>2</v>
      </c>
      <c r="AX234">
        <v>94799922</v>
      </c>
      <c r="AY234">
        <v>1</v>
      </c>
      <c r="AZ234">
        <v>0</v>
      </c>
      <c r="BA234">
        <v>234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V234">
        <v>0</v>
      </c>
      <c r="CW234">
        <v>0</v>
      </c>
      <c r="CX234">
        <f>ROUND(Y234*Source!I315,9)</f>
        <v>9</v>
      </c>
      <c r="CY234">
        <f>AA234</f>
        <v>52.22</v>
      </c>
      <c r="CZ234">
        <f>AE234</f>
        <v>10.199999999999999</v>
      </c>
      <c r="DA234">
        <f>AI234</f>
        <v>5.12</v>
      </c>
      <c r="DB234">
        <f t="shared" si="98"/>
        <v>2550</v>
      </c>
      <c r="DC234">
        <f t="shared" si="99"/>
        <v>0</v>
      </c>
      <c r="DD234" t="s">
        <v>3</v>
      </c>
      <c r="DE234" t="s">
        <v>3</v>
      </c>
      <c r="DF234">
        <f>ROUND(ROUND(AE234*AI234,2)*CX234,2)</f>
        <v>469.98</v>
      </c>
      <c r="DG234">
        <f>ROUND(ROUND(AF234,2)*CX234,2)</f>
        <v>0</v>
      </c>
      <c r="DH234">
        <f>ROUND(ROUND(AG234,2)*CX234,2)</f>
        <v>0</v>
      </c>
      <c r="DI234">
        <f t="shared" si="83"/>
        <v>0</v>
      </c>
      <c r="DJ234">
        <f>DF234</f>
        <v>469.98</v>
      </c>
      <c r="DK234">
        <v>0</v>
      </c>
      <c r="DL234" t="s">
        <v>3</v>
      </c>
      <c r="DM234">
        <v>0</v>
      </c>
      <c r="DN234" t="s">
        <v>3</v>
      </c>
      <c r="DO234">
        <v>0</v>
      </c>
    </row>
    <row r="235" spans="1:119" x14ac:dyDescent="0.2">
      <c r="A235">
        <f>ROW(Source!A315)</f>
        <v>315</v>
      </c>
      <c r="B235">
        <v>94798619</v>
      </c>
      <c r="C235">
        <v>94799916</v>
      </c>
      <c r="D235">
        <v>37767859</v>
      </c>
      <c r="E235">
        <v>1</v>
      </c>
      <c r="F235">
        <v>1</v>
      </c>
      <c r="G235">
        <v>1</v>
      </c>
      <c r="H235">
        <v>3</v>
      </c>
      <c r="I235" t="s">
        <v>336</v>
      </c>
      <c r="J235" t="s">
        <v>338</v>
      </c>
      <c r="K235" t="s">
        <v>337</v>
      </c>
      <c r="L235">
        <v>1339</v>
      </c>
      <c r="N235">
        <v>1007</v>
      </c>
      <c r="O235" t="s">
        <v>52</v>
      </c>
      <c r="P235" t="s">
        <v>52</v>
      </c>
      <c r="Q235">
        <v>1</v>
      </c>
      <c r="W235">
        <v>1</v>
      </c>
      <c r="X235">
        <v>44938050</v>
      </c>
      <c r="Y235">
        <f t="shared" si="97"/>
        <v>-102</v>
      </c>
      <c r="AA235">
        <v>5519.36</v>
      </c>
      <c r="AB235">
        <v>0</v>
      </c>
      <c r="AC235">
        <v>0</v>
      </c>
      <c r="AD235">
        <v>0</v>
      </c>
      <c r="AE235">
        <v>512</v>
      </c>
      <c r="AF235">
        <v>0</v>
      </c>
      <c r="AG235">
        <v>0</v>
      </c>
      <c r="AH235">
        <v>0</v>
      </c>
      <c r="AI235">
        <v>10.78</v>
      </c>
      <c r="AJ235">
        <v>1</v>
      </c>
      <c r="AK235">
        <v>1</v>
      </c>
      <c r="AL235">
        <v>1</v>
      </c>
      <c r="AM235">
        <v>2</v>
      </c>
      <c r="AN235">
        <v>0</v>
      </c>
      <c r="AO235">
        <v>1</v>
      </c>
      <c r="AP235">
        <v>1</v>
      </c>
      <c r="AQ235">
        <v>0</v>
      </c>
      <c r="AR235">
        <v>0</v>
      </c>
      <c r="AS235" t="s">
        <v>3</v>
      </c>
      <c r="AT235">
        <v>-102</v>
      </c>
      <c r="AU235" t="s">
        <v>3</v>
      </c>
      <c r="AV235">
        <v>0</v>
      </c>
      <c r="AW235">
        <v>2</v>
      </c>
      <c r="AX235">
        <v>94799923</v>
      </c>
      <c r="AY235">
        <v>1</v>
      </c>
      <c r="AZ235">
        <v>6144</v>
      </c>
      <c r="BA235">
        <v>235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V235">
        <v>0</v>
      </c>
      <c r="CW235">
        <v>0</v>
      </c>
      <c r="CX235">
        <f>ROUND(Y235*Source!I315,9)</f>
        <v>-3.6720000000000002</v>
      </c>
      <c r="CY235">
        <f>AA235</f>
        <v>5519.36</v>
      </c>
      <c r="CZ235">
        <f>AE235</f>
        <v>512</v>
      </c>
      <c r="DA235">
        <f>AI235</f>
        <v>10.78</v>
      </c>
      <c r="DB235">
        <f t="shared" si="98"/>
        <v>-52224</v>
      </c>
      <c r="DC235">
        <f t="shared" si="99"/>
        <v>0</v>
      </c>
      <c r="DD235" t="s">
        <v>3</v>
      </c>
      <c r="DE235" t="s">
        <v>3</v>
      </c>
      <c r="DF235">
        <f>ROUND(ROUND(AE235*AI235,2)*CX235,2)</f>
        <v>-20267.09</v>
      </c>
      <c r="DG235">
        <f>ROUND(ROUND(AF235,2)*CX235,2)</f>
        <v>0</v>
      </c>
      <c r="DH235">
        <f>ROUND(ROUND(AG235,2)*CX235,2)</f>
        <v>0</v>
      </c>
      <c r="DI235">
        <f t="shared" si="83"/>
        <v>0</v>
      </c>
      <c r="DJ235">
        <f>DF235</f>
        <v>-20267.09</v>
      </c>
      <c r="DK235">
        <v>0</v>
      </c>
      <c r="DL235" t="s">
        <v>3</v>
      </c>
      <c r="DM235">
        <v>0</v>
      </c>
      <c r="DN235" t="s">
        <v>3</v>
      </c>
      <c r="DO235">
        <v>0</v>
      </c>
    </row>
    <row r="236" spans="1:119" x14ac:dyDescent="0.2">
      <c r="A236">
        <f>ROW(Source!A315)</f>
        <v>315</v>
      </c>
      <c r="B236">
        <v>94798619</v>
      </c>
      <c r="C236">
        <v>94799916</v>
      </c>
      <c r="D236">
        <v>37777802</v>
      </c>
      <c r="E236">
        <v>1</v>
      </c>
      <c r="F236">
        <v>1</v>
      </c>
      <c r="G236">
        <v>1</v>
      </c>
      <c r="H236">
        <v>3</v>
      </c>
      <c r="I236" t="s">
        <v>883</v>
      </c>
      <c r="J236" t="s">
        <v>884</v>
      </c>
      <c r="K236" t="s">
        <v>885</v>
      </c>
      <c r="L236">
        <v>1339</v>
      </c>
      <c r="N236">
        <v>1007</v>
      </c>
      <c r="O236" t="s">
        <v>52</v>
      </c>
      <c r="P236" t="s">
        <v>52</v>
      </c>
      <c r="Q236">
        <v>1</v>
      </c>
      <c r="W236">
        <v>0</v>
      </c>
      <c r="X236">
        <v>-1418712732</v>
      </c>
      <c r="Y236">
        <f t="shared" si="97"/>
        <v>0.2</v>
      </c>
      <c r="AA236">
        <v>19.59</v>
      </c>
      <c r="AB236">
        <v>0</v>
      </c>
      <c r="AC236">
        <v>0</v>
      </c>
      <c r="AD236">
        <v>0</v>
      </c>
      <c r="AE236">
        <v>2.4700000000000002</v>
      </c>
      <c r="AF236">
        <v>0</v>
      </c>
      <c r="AG236">
        <v>0</v>
      </c>
      <c r="AH236">
        <v>0</v>
      </c>
      <c r="AI236">
        <v>7.93</v>
      </c>
      <c r="AJ236">
        <v>1</v>
      </c>
      <c r="AK236">
        <v>1</v>
      </c>
      <c r="AL236">
        <v>1</v>
      </c>
      <c r="AM236">
        <v>2</v>
      </c>
      <c r="AN236">
        <v>0</v>
      </c>
      <c r="AO236">
        <v>1</v>
      </c>
      <c r="AP236">
        <v>1</v>
      </c>
      <c r="AQ236">
        <v>0</v>
      </c>
      <c r="AR236">
        <v>0</v>
      </c>
      <c r="AS236" t="s">
        <v>3</v>
      </c>
      <c r="AT236">
        <v>0.2</v>
      </c>
      <c r="AU236" t="s">
        <v>3</v>
      </c>
      <c r="AV236">
        <v>0</v>
      </c>
      <c r="AW236">
        <v>2</v>
      </c>
      <c r="AX236">
        <v>94799924</v>
      </c>
      <c r="AY236">
        <v>1</v>
      </c>
      <c r="AZ236">
        <v>0</v>
      </c>
      <c r="BA236">
        <v>236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V236">
        <v>0</v>
      </c>
      <c r="CW236">
        <v>0</v>
      </c>
      <c r="CX236">
        <f>ROUND(Y236*Source!I315,9)</f>
        <v>7.1999999999999998E-3</v>
      </c>
      <c r="CY236">
        <f>AA236</f>
        <v>19.59</v>
      </c>
      <c r="CZ236">
        <f>AE236</f>
        <v>2.4700000000000002</v>
      </c>
      <c r="DA236">
        <f>AI236</f>
        <v>7.93</v>
      </c>
      <c r="DB236">
        <f t="shared" si="98"/>
        <v>0.49</v>
      </c>
      <c r="DC236">
        <f t="shared" si="99"/>
        <v>0</v>
      </c>
      <c r="DD236" t="s">
        <v>3</v>
      </c>
      <c r="DE236" t="s">
        <v>3</v>
      </c>
      <c r="DF236">
        <f>ROUND(ROUND(AE236*AI236,2)*CX236,2)</f>
        <v>0.14000000000000001</v>
      </c>
      <c r="DG236">
        <f>ROUND(ROUND(AF236,2)*CX236,2)</f>
        <v>0</v>
      </c>
      <c r="DH236">
        <f>ROUND(ROUND(AG236,2)*CX236,2)</f>
        <v>0</v>
      </c>
      <c r="DI236">
        <f t="shared" si="83"/>
        <v>0</v>
      </c>
      <c r="DJ236">
        <f>DF236</f>
        <v>0.14000000000000001</v>
      </c>
      <c r="DK236">
        <v>0</v>
      </c>
      <c r="DL236" t="s">
        <v>3</v>
      </c>
      <c r="DM236">
        <v>0</v>
      </c>
      <c r="DN236" t="s">
        <v>3</v>
      </c>
      <c r="DO236">
        <v>0</v>
      </c>
    </row>
    <row r="237" spans="1:119" x14ac:dyDescent="0.2">
      <c r="A237">
        <f>ROW(Source!A318)</f>
        <v>318</v>
      </c>
      <c r="B237">
        <v>94798619</v>
      </c>
      <c r="C237">
        <v>94799699</v>
      </c>
      <c r="D237">
        <v>23129805</v>
      </c>
      <c r="E237">
        <v>1</v>
      </c>
      <c r="F237">
        <v>1</v>
      </c>
      <c r="G237">
        <v>1</v>
      </c>
      <c r="H237">
        <v>1</v>
      </c>
      <c r="I237" t="s">
        <v>703</v>
      </c>
      <c r="J237" t="s">
        <v>3</v>
      </c>
      <c r="K237" t="s">
        <v>704</v>
      </c>
      <c r="L237">
        <v>1369</v>
      </c>
      <c r="N237">
        <v>1013</v>
      </c>
      <c r="O237" t="s">
        <v>696</v>
      </c>
      <c r="P237" t="s">
        <v>696</v>
      </c>
      <c r="Q237">
        <v>1</v>
      </c>
      <c r="W237">
        <v>0</v>
      </c>
      <c r="X237">
        <v>756115135</v>
      </c>
      <c r="Y237">
        <f t="shared" si="97"/>
        <v>785.88</v>
      </c>
      <c r="AA237">
        <v>0</v>
      </c>
      <c r="AB237">
        <v>0</v>
      </c>
      <c r="AC237">
        <v>0</v>
      </c>
      <c r="AD237">
        <v>7.97</v>
      </c>
      <c r="AE237">
        <v>0</v>
      </c>
      <c r="AF237">
        <v>0</v>
      </c>
      <c r="AG237">
        <v>0</v>
      </c>
      <c r="AH237">
        <v>7.97</v>
      </c>
      <c r="AI237">
        <v>1</v>
      </c>
      <c r="AJ237">
        <v>1</v>
      </c>
      <c r="AK237">
        <v>1</v>
      </c>
      <c r="AL237">
        <v>1</v>
      </c>
      <c r="AM237">
        <v>-2</v>
      </c>
      <c r="AN237">
        <v>0</v>
      </c>
      <c r="AO237">
        <v>1</v>
      </c>
      <c r="AP237">
        <v>1</v>
      </c>
      <c r="AQ237">
        <v>0</v>
      </c>
      <c r="AR237">
        <v>0</v>
      </c>
      <c r="AS237" t="s">
        <v>3</v>
      </c>
      <c r="AT237">
        <v>785.88</v>
      </c>
      <c r="AU237" t="s">
        <v>3</v>
      </c>
      <c r="AV237">
        <v>1</v>
      </c>
      <c r="AW237">
        <v>2</v>
      </c>
      <c r="AX237">
        <v>94799718</v>
      </c>
      <c r="AY237">
        <v>1</v>
      </c>
      <c r="AZ237">
        <v>0</v>
      </c>
      <c r="BA237">
        <v>237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U237">
        <f>ROUND(AT237*Source!I318*AH237*AL237,2)</f>
        <v>30.06</v>
      </c>
      <c r="CV237">
        <f>ROUND(Y237*Source!I318,9)</f>
        <v>3.772224</v>
      </c>
      <c r="CW237">
        <v>0</v>
      </c>
      <c r="CX237">
        <f>ROUND(Y237*Source!I318,9)</f>
        <v>3.772224</v>
      </c>
      <c r="CY237">
        <f>AD237</f>
        <v>7.97</v>
      </c>
      <c r="CZ237">
        <f>AH237</f>
        <v>7.97</v>
      </c>
      <c r="DA237">
        <f>AL237</f>
        <v>1</v>
      </c>
      <c r="DB237">
        <f t="shared" si="98"/>
        <v>6263.46</v>
      </c>
      <c r="DC237">
        <f t="shared" si="99"/>
        <v>0</v>
      </c>
      <c r="DD237" t="s">
        <v>3</v>
      </c>
      <c r="DE237" t="s">
        <v>3</v>
      </c>
      <c r="DF237">
        <f t="shared" ref="DF237:DF244" si="101">ROUND(ROUND(AE237,2)*CX237,2)</f>
        <v>0</v>
      </c>
      <c r="DG237">
        <f>ROUND(ROUND(AF237,2)*CX237,2)</f>
        <v>0</v>
      </c>
      <c r="DH237">
        <f>ROUND(ROUND(AG237,2)*CX237,2)</f>
        <v>0</v>
      </c>
      <c r="DI237">
        <f t="shared" si="83"/>
        <v>30.06</v>
      </c>
      <c r="DJ237">
        <f>DI237</f>
        <v>30.06</v>
      </c>
      <c r="DK237">
        <v>0</v>
      </c>
      <c r="DL237" t="s">
        <v>3</v>
      </c>
      <c r="DM237">
        <v>0</v>
      </c>
      <c r="DN237" t="s">
        <v>3</v>
      </c>
      <c r="DO237">
        <v>0</v>
      </c>
    </row>
    <row r="238" spans="1:119" x14ac:dyDescent="0.2">
      <c r="A238">
        <f>ROW(Source!A318)</f>
        <v>318</v>
      </c>
      <c r="B238">
        <v>94798619</v>
      </c>
      <c r="C238">
        <v>94799699</v>
      </c>
      <c r="D238">
        <v>121548</v>
      </c>
      <c r="E238">
        <v>1</v>
      </c>
      <c r="F238">
        <v>1</v>
      </c>
      <c r="G238">
        <v>1</v>
      </c>
      <c r="H238">
        <v>1</v>
      </c>
      <c r="I238" t="s">
        <v>28</v>
      </c>
      <c r="J238" t="s">
        <v>3</v>
      </c>
      <c r="K238" t="s">
        <v>705</v>
      </c>
      <c r="L238">
        <v>608254</v>
      </c>
      <c r="N238">
        <v>1013</v>
      </c>
      <c r="O238" t="s">
        <v>706</v>
      </c>
      <c r="P238" t="s">
        <v>706</v>
      </c>
      <c r="Q238">
        <v>1</v>
      </c>
      <c r="W238">
        <v>0</v>
      </c>
      <c r="X238">
        <v>-185737400</v>
      </c>
      <c r="Y238">
        <f t="shared" si="97"/>
        <v>31.3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M238">
        <v>-2</v>
      </c>
      <c r="AN238">
        <v>0</v>
      </c>
      <c r="AO238">
        <v>1</v>
      </c>
      <c r="AP238">
        <v>1</v>
      </c>
      <c r="AQ238">
        <v>0</v>
      </c>
      <c r="AR238">
        <v>0</v>
      </c>
      <c r="AS238" t="s">
        <v>3</v>
      </c>
      <c r="AT238">
        <v>31.3</v>
      </c>
      <c r="AU238" t="s">
        <v>3</v>
      </c>
      <c r="AV238">
        <v>2</v>
      </c>
      <c r="AW238">
        <v>2</v>
      </c>
      <c r="AX238">
        <v>94799719</v>
      </c>
      <c r="AY238">
        <v>1</v>
      </c>
      <c r="AZ238">
        <v>0</v>
      </c>
      <c r="BA238">
        <v>238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V238">
        <v>0</v>
      </c>
      <c r="CW238">
        <v>0</v>
      </c>
      <c r="CX238">
        <f>ROUND(Y238*Source!I318,9)</f>
        <v>0.15024000000000001</v>
      </c>
      <c r="CY238">
        <f>AD238</f>
        <v>0</v>
      </c>
      <c r="CZ238">
        <f>AH238</f>
        <v>0</v>
      </c>
      <c r="DA238">
        <f>AL238</f>
        <v>1</v>
      </c>
      <c r="DB238">
        <f t="shared" si="98"/>
        <v>0</v>
      </c>
      <c r="DC238">
        <f t="shared" si="99"/>
        <v>0</v>
      </c>
      <c r="DD238" t="s">
        <v>3</v>
      </c>
      <c r="DE238" t="s">
        <v>3</v>
      </c>
      <c r="DF238">
        <f t="shared" si="101"/>
        <v>0</v>
      </c>
      <c r="DG238">
        <f>ROUND(ROUND(AF238,2)*CX238,2)</f>
        <v>0</v>
      </c>
      <c r="DH238">
        <f>ROUND(ROUND(AG238,2)*CX238,2)</f>
        <v>0</v>
      </c>
      <c r="DI238">
        <f t="shared" si="83"/>
        <v>0</v>
      </c>
      <c r="DJ238">
        <f>DI238</f>
        <v>0</v>
      </c>
      <c r="DK238">
        <v>0</v>
      </c>
      <c r="DL238" t="s">
        <v>3</v>
      </c>
      <c r="DM238">
        <v>0</v>
      </c>
      <c r="DN238" t="s">
        <v>3</v>
      </c>
      <c r="DO238">
        <v>0</v>
      </c>
    </row>
    <row r="239" spans="1:119" x14ac:dyDescent="0.2">
      <c r="A239">
        <f>ROW(Source!A318)</f>
        <v>318</v>
      </c>
      <c r="B239">
        <v>94798619</v>
      </c>
      <c r="C239">
        <v>94799699</v>
      </c>
      <c r="D239">
        <v>37802359</v>
      </c>
      <c r="E239">
        <v>1</v>
      </c>
      <c r="F239">
        <v>1</v>
      </c>
      <c r="G239">
        <v>1</v>
      </c>
      <c r="H239">
        <v>2</v>
      </c>
      <c r="I239" t="s">
        <v>886</v>
      </c>
      <c r="J239" t="s">
        <v>887</v>
      </c>
      <c r="K239" t="s">
        <v>888</v>
      </c>
      <c r="L239">
        <v>1368</v>
      </c>
      <c r="N239">
        <v>1011</v>
      </c>
      <c r="O239" t="s">
        <v>700</v>
      </c>
      <c r="P239" t="s">
        <v>700</v>
      </c>
      <c r="Q239">
        <v>1</v>
      </c>
      <c r="W239">
        <v>0</v>
      </c>
      <c r="X239">
        <v>1604115853</v>
      </c>
      <c r="Y239">
        <f t="shared" si="97"/>
        <v>30.35</v>
      </c>
      <c r="AA239">
        <v>0</v>
      </c>
      <c r="AB239">
        <v>1247.05</v>
      </c>
      <c r="AC239">
        <v>426.77</v>
      </c>
      <c r="AD239">
        <v>0</v>
      </c>
      <c r="AE239">
        <v>0</v>
      </c>
      <c r="AF239">
        <v>103.49</v>
      </c>
      <c r="AG239">
        <v>12.1</v>
      </c>
      <c r="AH239">
        <v>0</v>
      </c>
      <c r="AI239">
        <v>1</v>
      </c>
      <c r="AJ239">
        <v>12.05</v>
      </c>
      <c r="AK239">
        <v>35.270000000000003</v>
      </c>
      <c r="AL239">
        <v>1</v>
      </c>
      <c r="AM239">
        <v>2</v>
      </c>
      <c r="AN239">
        <v>0</v>
      </c>
      <c r="AO239">
        <v>1</v>
      </c>
      <c r="AP239">
        <v>1</v>
      </c>
      <c r="AQ239">
        <v>0</v>
      </c>
      <c r="AR239">
        <v>0</v>
      </c>
      <c r="AS239" t="s">
        <v>3</v>
      </c>
      <c r="AT239">
        <v>30.35</v>
      </c>
      <c r="AU239" t="s">
        <v>3</v>
      </c>
      <c r="AV239">
        <v>0</v>
      </c>
      <c r="AW239">
        <v>2</v>
      </c>
      <c r="AX239">
        <v>94799720</v>
      </c>
      <c r="AY239">
        <v>1</v>
      </c>
      <c r="AZ239">
        <v>0</v>
      </c>
      <c r="BA239">
        <v>239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V239">
        <v>0</v>
      </c>
      <c r="CW239">
        <f>ROUND(Y239*Source!I318*DO239,9)</f>
        <v>0</v>
      </c>
      <c r="CX239">
        <f>ROUND(Y239*Source!I318,9)</f>
        <v>0.14568</v>
      </c>
      <c r="CY239">
        <f t="shared" ref="CY239:CY244" si="102">AB239</f>
        <v>1247.05</v>
      </c>
      <c r="CZ239">
        <f t="shared" ref="CZ239:CZ244" si="103">AF239</f>
        <v>103.49</v>
      </c>
      <c r="DA239">
        <f t="shared" ref="DA239:DA244" si="104">AJ239</f>
        <v>12.05</v>
      </c>
      <c r="DB239">
        <f t="shared" si="98"/>
        <v>3140.92</v>
      </c>
      <c r="DC239">
        <f t="shared" si="99"/>
        <v>367.24</v>
      </c>
      <c r="DD239" t="s">
        <v>3</v>
      </c>
      <c r="DE239" t="s">
        <v>3</v>
      </c>
      <c r="DF239">
        <f t="shared" si="101"/>
        <v>0</v>
      </c>
      <c r="DG239">
        <f t="shared" ref="DG239:DG244" si="105">ROUND(ROUND(AF239*AJ239,2)*CX239,2)</f>
        <v>181.67</v>
      </c>
      <c r="DH239">
        <f t="shared" ref="DH239:DH244" si="106">ROUND(ROUND(AG239*AK239,2)*CX239,2)</f>
        <v>62.17</v>
      </c>
      <c r="DI239">
        <f t="shared" si="83"/>
        <v>0</v>
      </c>
      <c r="DJ239">
        <f t="shared" ref="DJ239:DJ244" si="107">DG239</f>
        <v>181.67</v>
      </c>
      <c r="DK239">
        <v>0</v>
      </c>
      <c r="DL239" t="s">
        <v>3</v>
      </c>
      <c r="DM239">
        <v>0</v>
      </c>
      <c r="DN239" t="s">
        <v>3</v>
      </c>
      <c r="DO239">
        <v>0</v>
      </c>
    </row>
    <row r="240" spans="1:119" x14ac:dyDescent="0.2">
      <c r="A240">
        <f>ROW(Source!A318)</f>
        <v>318</v>
      </c>
      <c r="B240">
        <v>94798619</v>
      </c>
      <c r="C240">
        <v>94799699</v>
      </c>
      <c r="D240">
        <v>37802443</v>
      </c>
      <c r="E240">
        <v>1</v>
      </c>
      <c r="F240">
        <v>1</v>
      </c>
      <c r="G240">
        <v>1</v>
      </c>
      <c r="H240">
        <v>2</v>
      </c>
      <c r="I240" t="s">
        <v>721</v>
      </c>
      <c r="J240" t="s">
        <v>722</v>
      </c>
      <c r="K240" t="s">
        <v>723</v>
      </c>
      <c r="L240">
        <v>1368</v>
      </c>
      <c r="N240">
        <v>1011</v>
      </c>
      <c r="O240" t="s">
        <v>700</v>
      </c>
      <c r="P240" t="s">
        <v>700</v>
      </c>
      <c r="Q240">
        <v>1</v>
      </c>
      <c r="W240">
        <v>0</v>
      </c>
      <c r="X240">
        <v>1447433125</v>
      </c>
      <c r="Y240">
        <f t="shared" si="97"/>
        <v>0.68</v>
      </c>
      <c r="AA240">
        <v>0</v>
      </c>
      <c r="AB240">
        <v>1453.68</v>
      </c>
      <c r="AC240">
        <v>426.77</v>
      </c>
      <c r="AD240">
        <v>0</v>
      </c>
      <c r="AE240">
        <v>0</v>
      </c>
      <c r="AF240">
        <v>124.14</v>
      </c>
      <c r="AG240">
        <v>12.1</v>
      </c>
      <c r="AH240">
        <v>0</v>
      </c>
      <c r="AI240">
        <v>1</v>
      </c>
      <c r="AJ240">
        <v>11.71</v>
      </c>
      <c r="AK240">
        <v>35.270000000000003</v>
      </c>
      <c r="AL240">
        <v>1</v>
      </c>
      <c r="AM240">
        <v>2</v>
      </c>
      <c r="AN240">
        <v>0</v>
      </c>
      <c r="AO240">
        <v>1</v>
      </c>
      <c r="AP240">
        <v>1</v>
      </c>
      <c r="AQ240">
        <v>0</v>
      </c>
      <c r="AR240">
        <v>0</v>
      </c>
      <c r="AS240" t="s">
        <v>3</v>
      </c>
      <c r="AT240">
        <v>0.68</v>
      </c>
      <c r="AU240" t="s">
        <v>3</v>
      </c>
      <c r="AV240">
        <v>0</v>
      </c>
      <c r="AW240">
        <v>2</v>
      </c>
      <c r="AX240">
        <v>94799721</v>
      </c>
      <c r="AY240">
        <v>1</v>
      </c>
      <c r="AZ240">
        <v>0</v>
      </c>
      <c r="BA240">
        <v>240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V240">
        <v>0</v>
      </c>
      <c r="CW240">
        <f>ROUND(Y240*Source!I318*DO240,9)</f>
        <v>0</v>
      </c>
      <c r="CX240">
        <f>ROUND(Y240*Source!I318,9)</f>
        <v>3.264E-3</v>
      </c>
      <c r="CY240">
        <f t="shared" si="102"/>
        <v>1453.68</v>
      </c>
      <c r="CZ240">
        <f t="shared" si="103"/>
        <v>124.14</v>
      </c>
      <c r="DA240">
        <f t="shared" si="104"/>
        <v>11.71</v>
      </c>
      <c r="DB240">
        <f t="shared" si="98"/>
        <v>84.42</v>
      </c>
      <c r="DC240">
        <f t="shared" si="99"/>
        <v>8.23</v>
      </c>
      <c r="DD240" t="s">
        <v>3</v>
      </c>
      <c r="DE240" t="s">
        <v>3</v>
      </c>
      <c r="DF240">
        <f t="shared" si="101"/>
        <v>0</v>
      </c>
      <c r="DG240">
        <f t="shared" si="105"/>
        <v>4.74</v>
      </c>
      <c r="DH240">
        <f t="shared" si="106"/>
        <v>1.39</v>
      </c>
      <c r="DI240">
        <f t="shared" si="83"/>
        <v>0</v>
      </c>
      <c r="DJ240">
        <f t="shared" si="107"/>
        <v>4.74</v>
      </c>
      <c r="DK240">
        <v>0</v>
      </c>
      <c r="DL240" t="s">
        <v>3</v>
      </c>
      <c r="DM240">
        <v>0</v>
      </c>
      <c r="DN240" t="s">
        <v>3</v>
      </c>
      <c r="DO240">
        <v>0</v>
      </c>
    </row>
    <row r="241" spans="1:119" x14ac:dyDescent="0.2">
      <c r="A241">
        <f>ROW(Source!A318)</f>
        <v>318</v>
      </c>
      <c r="B241">
        <v>94798619</v>
      </c>
      <c r="C241">
        <v>94799699</v>
      </c>
      <c r="D241">
        <v>37802515</v>
      </c>
      <c r="E241">
        <v>1</v>
      </c>
      <c r="F241">
        <v>1</v>
      </c>
      <c r="G241">
        <v>1</v>
      </c>
      <c r="H241">
        <v>2</v>
      </c>
      <c r="I241" t="s">
        <v>774</v>
      </c>
      <c r="J241" t="s">
        <v>775</v>
      </c>
      <c r="K241" t="s">
        <v>776</v>
      </c>
      <c r="L241">
        <v>1368</v>
      </c>
      <c r="N241">
        <v>1011</v>
      </c>
      <c r="O241" t="s">
        <v>700</v>
      </c>
      <c r="P241" t="s">
        <v>700</v>
      </c>
      <c r="Q241">
        <v>1</v>
      </c>
      <c r="W241">
        <v>0</v>
      </c>
      <c r="X241">
        <v>-674318163</v>
      </c>
      <c r="Y241">
        <f t="shared" si="97"/>
        <v>0.27</v>
      </c>
      <c r="AA241">
        <v>0</v>
      </c>
      <c r="AB241">
        <v>2230.73</v>
      </c>
      <c r="AC241">
        <v>317.43</v>
      </c>
      <c r="AD241">
        <v>0</v>
      </c>
      <c r="AE241">
        <v>0</v>
      </c>
      <c r="AF241">
        <v>87.24</v>
      </c>
      <c r="AG241">
        <v>9</v>
      </c>
      <c r="AH241">
        <v>0</v>
      </c>
      <c r="AI241">
        <v>1</v>
      </c>
      <c r="AJ241">
        <v>25.57</v>
      </c>
      <c r="AK241">
        <v>35.270000000000003</v>
      </c>
      <c r="AL241">
        <v>1</v>
      </c>
      <c r="AM241">
        <v>2</v>
      </c>
      <c r="AN241">
        <v>0</v>
      </c>
      <c r="AO241">
        <v>1</v>
      </c>
      <c r="AP241">
        <v>1</v>
      </c>
      <c r="AQ241">
        <v>0</v>
      </c>
      <c r="AR241">
        <v>0</v>
      </c>
      <c r="AS241" t="s">
        <v>3</v>
      </c>
      <c r="AT241">
        <v>0.27</v>
      </c>
      <c r="AU241" t="s">
        <v>3</v>
      </c>
      <c r="AV241">
        <v>0</v>
      </c>
      <c r="AW241">
        <v>2</v>
      </c>
      <c r="AX241">
        <v>94799722</v>
      </c>
      <c r="AY241">
        <v>1</v>
      </c>
      <c r="AZ241">
        <v>0</v>
      </c>
      <c r="BA241">
        <v>241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V241">
        <v>0</v>
      </c>
      <c r="CW241">
        <f>ROUND(Y241*Source!I318*DO241,9)</f>
        <v>0</v>
      </c>
      <c r="CX241">
        <f>ROUND(Y241*Source!I318,9)</f>
        <v>1.2960000000000001E-3</v>
      </c>
      <c r="CY241">
        <f t="shared" si="102"/>
        <v>2230.73</v>
      </c>
      <c r="CZ241">
        <f t="shared" si="103"/>
        <v>87.24</v>
      </c>
      <c r="DA241">
        <f t="shared" si="104"/>
        <v>25.57</v>
      </c>
      <c r="DB241">
        <f t="shared" si="98"/>
        <v>23.55</v>
      </c>
      <c r="DC241">
        <f t="shared" si="99"/>
        <v>2.4300000000000002</v>
      </c>
      <c r="DD241" t="s">
        <v>3</v>
      </c>
      <c r="DE241" t="s">
        <v>3</v>
      </c>
      <c r="DF241">
        <f t="shared" si="101"/>
        <v>0</v>
      </c>
      <c r="DG241">
        <f t="shared" si="105"/>
        <v>2.89</v>
      </c>
      <c r="DH241">
        <f t="shared" si="106"/>
        <v>0.41</v>
      </c>
      <c r="DI241">
        <f t="shared" si="83"/>
        <v>0</v>
      </c>
      <c r="DJ241">
        <f t="shared" si="107"/>
        <v>2.89</v>
      </c>
      <c r="DK241">
        <v>0</v>
      </c>
      <c r="DL241" t="s">
        <v>3</v>
      </c>
      <c r="DM241">
        <v>0</v>
      </c>
      <c r="DN241" t="s">
        <v>3</v>
      </c>
      <c r="DO241">
        <v>0</v>
      </c>
    </row>
    <row r="242" spans="1:119" x14ac:dyDescent="0.2">
      <c r="A242">
        <f>ROW(Source!A318)</f>
        <v>318</v>
      </c>
      <c r="B242">
        <v>94798619</v>
      </c>
      <c r="C242">
        <v>94799699</v>
      </c>
      <c r="D242">
        <v>37802999</v>
      </c>
      <c r="E242">
        <v>1</v>
      </c>
      <c r="F242">
        <v>1</v>
      </c>
      <c r="G242">
        <v>1</v>
      </c>
      <c r="H242">
        <v>2</v>
      </c>
      <c r="I242" t="s">
        <v>934</v>
      </c>
      <c r="J242" t="s">
        <v>935</v>
      </c>
      <c r="K242" t="s">
        <v>936</v>
      </c>
      <c r="L242">
        <v>1368</v>
      </c>
      <c r="N242">
        <v>1011</v>
      </c>
      <c r="O242" t="s">
        <v>700</v>
      </c>
      <c r="P242" t="s">
        <v>700</v>
      </c>
      <c r="Q242">
        <v>1</v>
      </c>
      <c r="W242">
        <v>0</v>
      </c>
      <c r="X242">
        <v>-1634320916</v>
      </c>
      <c r="Y242">
        <f t="shared" si="97"/>
        <v>37.72</v>
      </c>
      <c r="AA242">
        <v>0</v>
      </c>
      <c r="AB242">
        <v>14.9</v>
      </c>
      <c r="AC242">
        <v>0</v>
      </c>
      <c r="AD242">
        <v>0</v>
      </c>
      <c r="AE242">
        <v>0</v>
      </c>
      <c r="AF242">
        <v>2.67</v>
      </c>
      <c r="AG242">
        <v>0</v>
      </c>
      <c r="AH242">
        <v>0</v>
      </c>
      <c r="AI242">
        <v>1</v>
      </c>
      <c r="AJ242">
        <v>5.58</v>
      </c>
      <c r="AK242">
        <v>35.270000000000003</v>
      </c>
      <c r="AL242">
        <v>1</v>
      </c>
      <c r="AM242">
        <v>2</v>
      </c>
      <c r="AN242">
        <v>0</v>
      </c>
      <c r="AO242">
        <v>1</v>
      </c>
      <c r="AP242">
        <v>1</v>
      </c>
      <c r="AQ242">
        <v>0</v>
      </c>
      <c r="AR242">
        <v>0</v>
      </c>
      <c r="AS242" t="s">
        <v>3</v>
      </c>
      <c r="AT242">
        <v>37.72</v>
      </c>
      <c r="AU242" t="s">
        <v>3</v>
      </c>
      <c r="AV242">
        <v>0</v>
      </c>
      <c r="AW242">
        <v>2</v>
      </c>
      <c r="AX242">
        <v>94799723</v>
      </c>
      <c r="AY242">
        <v>1</v>
      </c>
      <c r="AZ242">
        <v>0</v>
      </c>
      <c r="BA242">
        <v>242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V242">
        <v>0</v>
      </c>
      <c r="CW242">
        <f>ROUND(Y242*Source!I318*DO242,9)</f>
        <v>0</v>
      </c>
      <c r="CX242">
        <f>ROUND(Y242*Source!I318,9)</f>
        <v>0.18105599999999999</v>
      </c>
      <c r="CY242">
        <f t="shared" si="102"/>
        <v>14.9</v>
      </c>
      <c r="CZ242">
        <f t="shared" si="103"/>
        <v>2.67</v>
      </c>
      <c r="DA242">
        <f t="shared" si="104"/>
        <v>5.58</v>
      </c>
      <c r="DB242">
        <f t="shared" si="98"/>
        <v>100.71</v>
      </c>
      <c r="DC242">
        <f t="shared" si="99"/>
        <v>0</v>
      </c>
      <c r="DD242" t="s">
        <v>3</v>
      </c>
      <c r="DE242" t="s">
        <v>3</v>
      </c>
      <c r="DF242">
        <f t="shared" si="101"/>
        <v>0</v>
      </c>
      <c r="DG242">
        <f t="shared" si="105"/>
        <v>2.7</v>
      </c>
      <c r="DH242">
        <f t="shared" si="106"/>
        <v>0</v>
      </c>
      <c r="DI242">
        <f t="shared" si="83"/>
        <v>0</v>
      </c>
      <c r="DJ242">
        <f t="shared" si="107"/>
        <v>2.7</v>
      </c>
      <c r="DK242">
        <v>0</v>
      </c>
      <c r="DL242" t="s">
        <v>3</v>
      </c>
      <c r="DM242">
        <v>0</v>
      </c>
      <c r="DN242" t="s">
        <v>3</v>
      </c>
      <c r="DO242">
        <v>0</v>
      </c>
    </row>
    <row r="243" spans="1:119" x14ac:dyDescent="0.2">
      <c r="A243">
        <f>ROW(Source!A318)</f>
        <v>318</v>
      </c>
      <c r="B243">
        <v>94798619</v>
      </c>
      <c r="C243">
        <v>94799699</v>
      </c>
      <c r="D243">
        <v>37804146</v>
      </c>
      <c r="E243">
        <v>1</v>
      </c>
      <c r="F243">
        <v>1</v>
      </c>
      <c r="G243">
        <v>1</v>
      </c>
      <c r="H243">
        <v>2</v>
      </c>
      <c r="I243" t="s">
        <v>937</v>
      </c>
      <c r="J243" t="s">
        <v>938</v>
      </c>
      <c r="K243" t="s">
        <v>939</v>
      </c>
      <c r="L243">
        <v>1368</v>
      </c>
      <c r="N243">
        <v>1011</v>
      </c>
      <c r="O243" t="s">
        <v>700</v>
      </c>
      <c r="P243" t="s">
        <v>700</v>
      </c>
      <c r="Q243">
        <v>1</v>
      </c>
      <c r="W243">
        <v>0</v>
      </c>
      <c r="X243">
        <v>1473447811</v>
      </c>
      <c r="Y243">
        <f t="shared" si="97"/>
        <v>0.87</v>
      </c>
      <c r="AA243">
        <v>0</v>
      </c>
      <c r="AB243">
        <v>24.5</v>
      </c>
      <c r="AC243">
        <v>0</v>
      </c>
      <c r="AD243">
        <v>0</v>
      </c>
      <c r="AE243">
        <v>0</v>
      </c>
      <c r="AF243">
        <v>3.28</v>
      </c>
      <c r="AG243">
        <v>0</v>
      </c>
      <c r="AH243">
        <v>0</v>
      </c>
      <c r="AI243">
        <v>1</v>
      </c>
      <c r="AJ243">
        <v>7.47</v>
      </c>
      <c r="AK243">
        <v>35.270000000000003</v>
      </c>
      <c r="AL243">
        <v>1</v>
      </c>
      <c r="AM243">
        <v>2</v>
      </c>
      <c r="AN243">
        <v>0</v>
      </c>
      <c r="AO243">
        <v>1</v>
      </c>
      <c r="AP243">
        <v>1</v>
      </c>
      <c r="AQ243">
        <v>0</v>
      </c>
      <c r="AR243">
        <v>0</v>
      </c>
      <c r="AS243" t="s">
        <v>3</v>
      </c>
      <c r="AT243">
        <v>0.87</v>
      </c>
      <c r="AU243" t="s">
        <v>3</v>
      </c>
      <c r="AV243">
        <v>0</v>
      </c>
      <c r="AW243">
        <v>2</v>
      </c>
      <c r="AX243">
        <v>94799724</v>
      </c>
      <c r="AY243">
        <v>1</v>
      </c>
      <c r="AZ243">
        <v>0</v>
      </c>
      <c r="BA243">
        <v>243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V243">
        <v>0</v>
      </c>
      <c r="CW243">
        <f>ROUND(Y243*Source!I318*DO243,9)</f>
        <v>0</v>
      </c>
      <c r="CX243">
        <f>ROUND(Y243*Source!I318,9)</f>
        <v>4.176E-3</v>
      </c>
      <c r="CY243">
        <f t="shared" si="102"/>
        <v>24.5</v>
      </c>
      <c r="CZ243">
        <f t="shared" si="103"/>
        <v>3.28</v>
      </c>
      <c r="DA243">
        <f t="shared" si="104"/>
        <v>7.47</v>
      </c>
      <c r="DB243">
        <f t="shared" si="98"/>
        <v>2.85</v>
      </c>
      <c r="DC243">
        <f t="shared" si="99"/>
        <v>0</v>
      </c>
      <c r="DD243" t="s">
        <v>3</v>
      </c>
      <c r="DE243" t="s">
        <v>3</v>
      </c>
      <c r="DF243">
        <f t="shared" si="101"/>
        <v>0</v>
      </c>
      <c r="DG243">
        <f t="shared" si="105"/>
        <v>0.1</v>
      </c>
      <c r="DH243">
        <f t="shared" si="106"/>
        <v>0</v>
      </c>
      <c r="DI243">
        <f t="shared" si="83"/>
        <v>0</v>
      </c>
      <c r="DJ243">
        <f t="shared" si="107"/>
        <v>0.1</v>
      </c>
      <c r="DK243">
        <v>0</v>
      </c>
      <c r="DL243" t="s">
        <v>3</v>
      </c>
      <c r="DM243">
        <v>0</v>
      </c>
      <c r="DN243" t="s">
        <v>3</v>
      </c>
      <c r="DO243">
        <v>0</v>
      </c>
    </row>
    <row r="244" spans="1:119" x14ac:dyDescent="0.2">
      <c r="A244">
        <f>ROW(Source!A318)</f>
        <v>318</v>
      </c>
      <c r="B244">
        <v>94798619</v>
      </c>
      <c r="C244">
        <v>94799699</v>
      </c>
      <c r="D244">
        <v>37804456</v>
      </c>
      <c r="E244">
        <v>1</v>
      </c>
      <c r="F244">
        <v>1</v>
      </c>
      <c r="G244">
        <v>1</v>
      </c>
      <c r="H244">
        <v>2</v>
      </c>
      <c r="I244" t="s">
        <v>713</v>
      </c>
      <c r="J244" t="s">
        <v>714</v>
      </c>
      <c r="K244" t="s">
        <v>715</v>
      </c>
      <c r="L244">
        <v>1368</v>
      </c>
      <c r="N244">
        <v>1011</v>
      </c>
      <c r="O244" t="s">
        <v>700</v>
      </c>
      <c r="P244" t="s">
        <v>700</v>
      </c>
      <c r="Q244">
        <v>1</v>
      </c>
      <c r="W244">
        <v>0</v>
      </c>
      <c r="X244">
        <v>-671646184</v>
      </c>
      <c r="Y244">
        <f t="shared" si="97"/>
        <v>0.99</v>
      </c>
      <c r="AA244">
        <v>0</v>
      </c>
      <c r="AB244">
        <v>1305.74</v>
      </c>
      <c r="AC244">
        <v>365.04</v>
      </c>
      <c r="AD244">
        <v>0</v>
      </c>
      <c r="AE244">
        <v>0</v>
      </c>
      <c r="AF244">
        <v>91.76</v>
      </c>
      <c r="AG244">
        <v>10.35</v>
      </c>
      <c r="AH244">
        <v>0</v>
      </c>
      <c r="AI244">
        <v>1</v>
      </c>
      <c r="AJ244">
        <v>14.23</v>
      </c>
      <c r="AK244">
        <v>35.270000000000003</v>
      </c>
      <c r="AL244">
        <v>1</v>
      </c>
      <c r="AM244">
        <v>2</v>
      </c>
      <c r="AN244">
        <v>0</v>
      </c>
      <c r="AO244">
        <v>1</v>
      </c>
      <c r="AP244">
        <v>1</v>
      </c>
      <c r="AQ244">
        <v>0</v>
      </c>
      <c r="AR244">
        <v>0</v>
      </c>
      <c r="AS244" t="s">
        <v>3</v>
      </c>
      <c r="AT244">
        <v>0.99</v>
      </c>
      <c r="AU244" t="s">
        <v>3</v>
      </c>
      <c r="AV244">
        <v>0</v>
      </c>
      <c r="AW244">
        <v>2</v>
      </c>
      <c r="AX244">
        <v>94799725</v>
      </c>
      <c r="AY244">
        <v>1</v>
      </c>
      <c r="AZ244">
        <v>0</v>
      </c>
      <c r="BA244">
        <v>244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V244">
        <v>0</v>
      </c>
      <c r="CW244">
        <f>ROUND(Y244*Source!I318*DO244,9)</f>
        <v>0</v>
      </c>
      <c r="CX244">
        <f>ROUND(Y244*Source!I318,9)</f>
        <v>4.7520000000000001E-3</v>
      </c>
      <c r="CY244">
        <f t="shared" si="102"/>
        <v>1305.74</v>
      </c>
      <c r="CZ244">
        <f t="shared" si="103"/>
        <v>91.76</v>
      </c>
      <c r="DA244">
        <f t="shared" si="104"/>
        <v>14.23</v>
      </c>
      <c r="DB244">
        <f t="shared" si="98"/>
        <v>90.84</v>
      </c>
      <c r="DC244">
        <f t="shared" si="99"/>
        <v>10.25</v>
      </c>
      <c r="DD244" t="s">
        <v>3</v>
      </c>
      <c r="DE244" t="s">
        <v>3</v>
      </c>
      <c r="DF244">
        <f t="shared" si="101"/>
        <v>0</v>
      </c>
      <c r="DG244">
        <f t="shared" si="105"/>
        <v>6.2</v>
      </c>
      <c r="DH244">
        <f t="shared" si="106"/>
        <v>1.73</v>
      </c>
      <c r="DI244">
        <f t="shared" si="83"/>
        <v>0</v>
      </c>
      <c r="DJ244">
        <f t="shared" si="107"/>
        <v>6.2</v>
      </c>
      <c r="DK244">
        <v>0</v>
      </c>
      <c r="DL244" t="s">
        <v>3</v>
      </c>
      <c r="DM244">
        <v>0</v>
      </c>
      <c r="DN244" t="s">
        <v>3</v>
      </c>
      <c r="DO244">
        <v>0</v>
      </c>
    </row>
    <row r="245" spans="1:119" x14ac:dyDescent="0.2">
      <c r="A245">
        <f>ROW(Source!A318)</f>
        <v>318</v>
      </c>
      <c r="B245">
        <v>94798619</v>
      </c>
      <c r="C245">
        <v>94799699</v>
      </c>
      <c r="D245">
        <v>37736264</v>
      </c>
      <c r="E245">
        <v>1</v>
      </c>
      <c r="F245">
        <v>1</v>
      </c>
      <c r="G245">
        <v>1</v>
      </c>
      <c r="H245">
        <v>3</v>
      </c>
      <c r="I245" t="s">
        <v>842</v>
      </c>
      <c r="J245" t="s">
        <v>843</v>
      </c>
      <c r="K245" t="s">
        <v>844</v>
      </c>
      <c r="L245">
        <v>1348</v>
      </c>
      <c r="N245">
        <v>1009</v>
      </c>
      <c r="O245" t="s">
        <v>170</v>
      </c>
      <c r="P245" t="s">
        <v>170</v>
      </c>
      <c r="Q245">
        <v>1000</v>
      </c>
      <c r="W245">
        <v>0</v>
      </c>
      <c r="X245">
        <v>1941264678</v>
      </c>
      <c r="Y245">
        <f t="shared" si="97"/>
        <v>3.7499999999999999E-2</v>
      </c>
      <c r="AA245">
        <v>31452.3</v>
      </c>
      <c r="AB245">
        <v>0</v>
      </c>
      <c r="AC245">
        <v>0</v>
      </c>
      <c r="AD245">
        <v>0</v>
      </c>
      <c r="AE245">
        <v>4455</v>
      </c>
      <c r="AF245">
        <v>0</v>
      </c>
      <c r="AG245">
        <v>0</v>
      </c>
      <c r="AH245">
        <v>0</v>
      </c>
      <c r="AI245">
        <v>7.06</v>
      </c>
      <c r="AJ245">
        <v>1</v>
      </c>
      <c r="AK245">
        <v>1</v>
      </c>
      <c r="AL245">
        <v>1</v>
      </c>
      <c r="AM245">
        <v>2</v>
      </c>
      <c r="AN245">
        <v>0</v>
      </c>
      <c r="AO245">
        <v>1</v>
      </c>
      <c r="AP245">
        <v>1</v>
      </c>
      <c r="AQ245">
        <v>0</v>
      </c>
      <c r="AR245">
        <v>0</v>
      </c>
      <c r="AS245" t="s">
        <v>3</v>
      </c>
      <c r="AT245">
        <v>3.7499999999999999E-2</v>
      </c>
      <c r="AU245" t="s">
        <v>3</v>
      </c>
      <c r="AV245">
        <v>0</v>
      </c>
      <c r="AW245">
        <v>2</v>
      </c>
      <c r="AX245">
        <v>94799726</v>
      </c>
      <c r="AY245">
        <v>1</v>
      </c>
      <c r="AZ245">
        <v>0</v>
      </c>
      <c r="BA245">
        <v>245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V245">
        <v>0</v>
      </c>
      <c r="CW245">
        <v>0</v>
      </c>
      <c r="CX245">
        <f>ROUND(Y245*Source!I318,9)</f>
        <v>1.8000000000000001E-4</v>
      </c>
      <c r="CY245">
        <f t="shared" ref="CY245:CY254" si="108">AA245</f>
        <v>31452.3</v>
      </c>
      <c r="CZ245">
        <f t="shared" ref="CZ245:CZ254" si="109">AE245</f>
        <v>4455</v>
      </c>
      <c r="DA245">
        <f t="shared" ref="DA245:DA254" si="110">AI245</f>
        <v>7.06</v>
      </c>
      <c r="DB245">
        <f t="shared" si="98"/>
        <v>167.06</v>
      </c>
      <c r="DC245">
        <f t="shared" si="99"/>
        <v>0</v>
      </c>
      <c r="DD245" t="s">
        <v>3</v>
      </c>
      <c r="DE245" t="s">
        <v>3</v>
      </c>
      <c r="DF245">
        <f t="shared" ref="DF245:DF254" si="111">ROUND(ROUND(AE245*AI245,2)*CX245,2)</f>
        <v>5.66</v>
      </c>
      <c r="DG245">
        <f t="shared" ref="DG245:DG256" si="112">ROUND(ROUND(AF245,2)*CX245,2)</f>
        <v>0</v>
      </c>
      <c r="DH245">
        <f t="shared" ref="DH245:DH256" si="113">ROUND(ROUND(AG245,2)*CX245,2)</f>
        <v>0</v>
      </c>
      <c r="DI245">
        <f t="shared" si="83"/>
        <v>0</v>
      </c>
      <c r="DJ245">
        <f t="shared" ref="DJ245:DJ254" si="114">DF245</f>
        <v>5.66</v>
      </c>
      <c r="DK245">
        <v>0</v>
      </c>
      <c r="DL245" t="s">
        <v>3</v>
      </c>
      <c r="DM245">
        <v>0</v>
      </c>
      <c r="DN245" t="s">
        <v>3</v>
      </c>
      <c r="DO245">
        <v>0</v>
      </c>
    </row>
    <row r="246" spans="1:119" x14ac:dyDescent="0.2">
      <c r="A246">
        <f>ROW(Source!A318)</f>
        <v>318</v>
      </c>
      <c r="B246">
        <v>94798619</v>
      </c>
      <c r="C246">
        <v>94799699</v>
      </c>
      <c r="D246">
        <v>37736279</v>
      </c>
      <c r="E246">
        <v>1</v>
      </c>
      <c r="F246">
        <v>1</v>
      </c>
      <c r="G246">
        <v>1</v>
      </c>
      <c r="H246">
        <v>3</v>
      </c>
      <c r="I246" t="s">
        <v>730</v>
      </c>
      <c r="J246" t="s">
        <v>731</v>
      </c>
      <c r="K246" t="s">
        <v>732</v>
      </c>
      <c r="L246">
        <v>1348</v>
      </c>
      <c r="N246">
        <v>1009</v>
      </c>
      <c r="O246" t="s">
        <v>170</v>
      </c>
      <c r="P246" t="s">
        <v>170</v>
      </c>
      <c r="Q246">
        <v>1000</v>
      </c>
      <c r="W246">
        <v>0</v>
      </c>
      <c r="X246">
        <v>-936228581</v>
      </c>
      <c r="Y246">
        <f t="shared" si="97"/>
        <v>6.1000000000000004E-3</v>
      </c>
      <c r="AA246">
        <v>76806</v>
      </c>
      <c r="AB246">
        <v>0</v>
      </c>
      <c r="AC246">
        <v>0</v>
      </c>
      <c r="AD246">
        <v>0</v>
      </c>
      <c r="AE246">
        <v>10200</v>
      </c>
      <c r="AF246">
        <v>0</v>
      </c>
      <c r="AG246">
        <v>0</v>
      </c>
      <c r="AH246">
        <v>0</v>
      </c>
      <c r="AI246">
        <v>7.53</v>
      </c>
      <c r="AJ246">
        <v>1</v>
      </c>
      <c r="AK246">
        <v>1</v>
      </c>
      <c r="AL246">
        <v>1</v>
      </c>
      <c r="AM246">
        <v>2</v>
      </c>
      <c r="AN246">
        <v>0</v>
      </c>
      <c r="AO246">
        <v>1</v>
      </c>
      <c r="AP246">
        <v>1</v>
      </c>
      <c r="AQ246">
        <v>0</v>
      </c>
      <c r="AR246">
        <v>0</v>
      </c>
      <c r="AS246" t="s">
        <v>3</v>
      </c>
      <c r="AT246">
        <v>6.1000000000000004E-3</v>
      </c>
      <c r="AU246" t="s">
        <v>3</v>
      </c>
      <c r="AV246">
        <v>0</v>
      </c>
      <c r="AW246">
        <v>2</v>
      </c>
      <c r="AX246">
        <v>94799727</v>
      </c>
      <c r="AY246">
        <v>1</v>
      </c>
      <c r="AZ246">
        <v>0</v>
      </c>
      <c r="BA246">
        <v>246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V246">
        <v>0</v>
      </c>
      <c r="CW246">
        <v>0</v>
      </c>
      <c r="CX246">
        <f>ROUND(Y246*Source!I318,9)</f>
        <v>2.9280000000000001E-5</v>
      </c>
      <c r="CY246">
        <f t="shared" si="108"/>
        <v>76806</v>
      </c>
      <c r="CZ246">
        <f t="shared" si="109"/>
        <v>10200</v>
      </c>
      <c r="DA246">
        <f t="shared" si="110"/>
        <v>7.53</v>
      </c>
      <c r="DB246">
        <f t="shared" si="98"/>
        <v>62.22</v>
      </c>
      <c r="DC246">
        <f t="shared" si="99"/>
        <v>0</v>
      </c>
      <c r="DD246" t="s">
        <v>3</v>
      </c>
      <c r="DE246" t="s">
        <v>3</v>
      </c>
      <c r="DF246">
        <f t="shared" si="111"/>
        <v>2.25</v>
      </c>
      <c r="DG246">
        <f t="shared" si="112"/>
        <v>0</v>
      </c>
      <c r="DH246">
        <f t="shared" si="113"/>
        <v>0</v>
      </c>
      <c r="DI246">
        <f t="shared" si="83"/>
        <v>0</v>
      </c>
      <c r="DJ246">
        <f t="shared" si="114"/>
        <v>2.25</v>
      </c>
      <c r="DK246">
        <v>0</v>
      </c>
      <c r="DL246" t="s">
        <v>3</v>
      </c>
      <c r="DM246">
        <v>0</v>
      </c>
      <c r="DN246" t="s">
        <v>3</v>
      </c>
      <c r="DO246">
        <v>0</v>
      </c>
    </row>
    <row r="247" spans="1:119" x14ac:dyDescent="0.2">
      <c r="A247">
        <f>ROW(Source!A318)</f>
        <v>318</v>
      </c>
      <c r="B247">
        <v>94798619</v>
      </c>
      <c r="C247">
        <v>94799699</v>
      </c>
      <c r="D247">
        <v>37730282</v>
      </c>
      <c r="E247">
        <v>1</v>
      </c>
      <c r="F247">
        <v>1</v>
      </c>
      <c r="G247">
        <v>1</v>
      </c>
      <c r="H247">
        <v>3</v>
      </c>
      <c r="I247" t="s">
        <v>892</v>
      </c>
      <c r="J247" t="s">
        <v>893</v>
      </c>
      <c r="K247" t="s">
        <v>894</v>
      </c>
      <c r="L247">
        <v>1327</v>
      </c>
      <c r="N247">
        <v>1005</v>
      </c>
      <c r="O247" t="s">
        <v>201</v>
      </c>
      <c r="P247" t="s">
        <v>201</v>
      </c>
      <c r="Q247">
        <v>1</v>
      </c>
      <c r="W247">
        <v>0</v>
      </c>
      <c r="X247">
        <v>-602309479</v>
      </c>
      <c r="Y247">
        <f t="shared" si="97"/>
        <v>153</v>
      </c>
      <c r="AA247">
        <v>52.22</v>
      </c>
      <c r="AB247">
        <v>0</v>
      </c>
      <c r="AC247">
        <v>0</v>
      </c>
      <c r="AD247">
        <v>0</v>
      </c>
      <c r="AE247">
        <v>10.199999999999999</v>
      </c>
      <c r="AF247">
        <v>0</v>
      </c>
      <c r="AG247">
        <v>0</v>
      </c>
      <c r="AH247">
        <v>0</v>
      </c>
      <c r="AI247">
        <v>5.12</v>
      </c>
      <c r="AJ247">
        <v>1</v>
      </c>
      <c r="AK247">
        <v>1</v>
      </c>
      <c r="AL247">
        <v>1</v>
      </c>
      <c r="AM247">
        <v>2</v>
      </c>
      <c r="AN247">
        <v>0</v>
      </c>
      <c r="AO247">
        <v>1</v>
      </c>
      <c r="AP247">
        <v>1</v>
      </c>
      <c r="AQ247">
        <v>0</v>
      </c>
      <c r="AR247">
        <v>0</v>
      </c>
      <c r="AS247" t="s">
        <v>3</v>
      </c>
      <c r="AT247">
        <v>153</v>
      </c>
      <c r="AU247" t="s">
        <v>3</v>
      </c>
      <c r="AV247">
        <v>0</v>
      </c>
      <c r="AW247">
        <v>2</v>
      </c>
      <c r="AX247">
        <v>94799728</v>
      </c>
      <c r="AY247">
        <v>1</v>
      </c>
      <c r="AZ247">
        <v>0</v>
      </c>
      <c r="BA247">
        <v>247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V247">
        <v>0</v>
      </c>
      <c r="CW247">
        <v>0</v>
      </c>
      <c r="CX247">
        <f>ROUND(Y247*Source!I318,9)</f>
        <v>0.73440000000000005</v>
      </c>
      <c r="CY247">
        <f t="shared" si="108"/>
        <v>52.22</v>
      </c>
      <c r="CZ247">
        <f t="shared" si="109"/>
        <v>10.199999999999999</v>
      </c>
      <c r="DA247">
        <f t="shared" si="110"/>
        <v>5.12</v>
      </c>
      <c r="DB247">
        <f t="shared" si="98"/>
        <v>1560.6</v>
      </c>
      <c r="DC247">
        <f t="shared" si="99"/>
        <v>0</v>
      </c>
      <c r="DD247" t="s">
        <v>3</v>
      </c>
      <c r="DE247" t="s">
        <v>3</v>
      </c>
      <c r="DF247">
        <f t="shared" si="111"/>
        <v>38.35</v>
      </c>
      <c r="DG247">
        <f t="shared" si="112"/>
        <v>0</v>
      </c>
      <c r="DH247">
        <f t="shared" si="113"/>
        <v>0</v>
      </c>
      <c r="DI247">
        <f t="shared" si="83"/>
        <v>0</v>
      </c>
      <c r="DJ247">
        <f t="shared" si="114"/>
        <v>38.35</v>
      </c>
      <c r="DK247">
        <v>0</v>
      </c>
      <c r="DL247" t="s">
        <v>3</v>
      </c>
      <c r="DM247">
        <v>0</v>
      </c>
      <c r="DN247" t="s">
        <v>3</v>
      </c>
      <c r="DO247">
        <v>0</v>
      </c>
    </row>
    <row r="248" spans="1:119" x14ac:dyDescent="0.2">
      <c r="A248">
        <f>ROW(Source!A318)</f>
        <v>318</v>
      </c>
      <c r="B248">
        <v>94798619</v>
      </c>
      <c r="C248">
        <v>94799699</v>
      </c>
      <c r="D248">
        <v>37736933</v>
      </c>
      <c r="E248">
        <v>1</v>
      </c>
      <c r="F248">
        <v>1</v>
      </c>
      <c r="G248">
        <v>1</v>
      </c>
      <c r="H248">
        <v>3</v>
      </c>
      <c r="I248" t="s">
        <v>851</v>
      </c>
      <c r="J248" t="s">
        <v>852</v>
      </c>
      <c r="K248" t="s">
        <v>853</v>
      </c>
      <c r="L248">
        <v>1348</v>
      </c>
      <c r="N248">
        <v>1009</v>
      </c>
      <c r="O248" t="s">
        <v>170</v>
      </c>
      <c r="P248" t="s">
        <v>170</v>
      </c>
      <c r="Q248">
        <v>1000</v>
      </c>
      <c r="W248">
        <v>0</v>
      </c>
      <c r="X248">
        <v>-667930777</v>
      </c>
      <c r="Y248">
        <f t="shared" si="97"/>
        <v>2.3800000000000002E-2</v>
      </c>
      <c r="AA248">
        <v>111120.24</v>
      </c>
      <c r="AB248">
        <v>0</v>
      </c>
      <c r="AC248">
        <v>0</v>
      </c>
      <c r="AD248">
        <v>0</v>
      </c>
      <c r="AE248">
        <v>12936</v>
      </c>
      <c r="AF248">
        <v>0</v>
      </c>
      <c r="AG248">
        <v>0</v>
      </c>
      <c r="AH248">
        <v>0</v>
      </c>
      <c r="AI248">
        <v>8.59</v>
      </c>
      <c r="AJ248">
        <v>1</v>
      </c>
      <c r="AK248">
        <v>1</v>
      </c>
      <c r="AL248">
        <v>1</v>
      </c>
      <c r="AM248">
        <v>2</v>
      </c>
      <c r="AN248">
        <v>0</v>
      </c>
      <c r="AO248">
        <v>1</v>
      </c>
      <c r="AP248">
        <v>1</v>
      </c>
      <c r="AQ248">
        <v>0</v>
      </c>
      <c r="AR248">
        <v>0</v>
      </c>
      <c r="AS248" t="s">
        <v>3</v>
      </c>
      <c r="AT248">
        <v>2.3800000000000002E-2</v>
      </c>
      <c r="AU248" t="s">
        <v>3</v>
      </c>
      <c r="AV248">
        <v>0</v>
      </c>
      <c r="AW248">
        <v>2</v>
      </c>
      <c r="AX248">
        <v>94799729</v>
      </c>
      <c r="AY248">
        <v>1</v>
      </c>
      <c r="AZ248">
        <v>0</v>
      </c>
      <c r="BA248">
        <v>248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V248">
        <v>0</v>
      </c>
      <c r="CW248">
        <v>0</v>
      </c>
      <c r="CX248">
        <f>ROUND(Y248*Source!I318,9)</f>
        <v>1.1424E-4</v>
      </c>
      <c r="CY248">
        <f t="shared" si="108"/>
        <v>111120.24</v>
      </c>
      <c r="CZ248">
        <f t="shared" si="109"/>
        <v>12936</v>
      </c>
      <c r="DA248">
        <f t="shared" si="110"/>
        <v>8.59</v>
      </c>
      <c r="DB248">
        <f t="shared" si="98"/>
        <v>307.88</v>
      </c>
      <c r="DC248">
        <f t="shared" si="99"/>
        <v>0</v>
      </c>
      <c r="DD248" t="s">
        <v>3</v>
      </c>
      <c r="DE248" t="s">
        <v>3</v>
      </c>
      <c r="DF248">
        <f t="shared" si="111"/>
        <v>12.69</v>
      </c>
      <c r="DG248">
        <f t="shared" si="112"/>
        <v>0</v>
      </c>
      <c r="DH248">
        <f t="shared" si="113"/>
        <v>0</v>
      </c>
      <c r="DI248">
        <f t="shared" si="83"/>
        <v>0</v>
      </c>
      <c r="DJ248">
        <f t="shared" si="114"/>
        <v>12.69</v>
      </c>
      <c r="DK248">
        <v>0</v>
      </c>
      <c r="DL248" t="s">
        <v>3</v>
      </c>
      <c r="DM248">
        <v>0</v>
      </c>
      <c r="DN248" t="s">
        <v>3</v>
      </c>
      <c r="DO248">
        <v>0</v>
      </c>
    </row>
    <row r="249" spans="1:119" x14ac:dyDescent="0.2">
      <c r="A249">
        <f>ROW(Source!A318)</f>
        <v>318</v>
      </c>
      <c r="B249">
        <v>94798619</v>
      </c>
      <c r="C249">
        <v>94799699</v>
      </c>
      <c r="D249">
        <v>37738213</v>
      </c>
      <c r="E249">
        <v>1</v>
      </c>
      <c r="F249">
        <v>1</v>
      </c>
      <c r="G249">
        <v>1</v>
      </c>
      <c r="H249">
        <v>3</v>
      </c>
      <c r="I249" t="s">
        <v>940</v>
      </c>
      <c r="J249" t="s">
        <v>941</v>
      </c>
      <c r="K249" t="s">
        <v>942</v>
      </c>
      <c r="L249">
        <v>1339</v>
      </c>
      <c r="N249">
        <v>1007</v>
      </c>
      <c r="O249" t="s">
        <v>52</v>
      </c>
      <c r="P249" t="s">
        <v>52</v>
      </c>
      <c r="Q249">
        <v>1</v>
      </c>
      <c r="W249">
        <v>0</v>
      </c>
      <c r="X249">
        <v>-306920569</v>
      </c>
      <c r="Y249">
        <f t="shared" si="97"/>
        <v>0.74</v>
      </c>
      <c r="AA249">
        <v>18564.650000000001</v>
      </c>
      <c r="AB249">
        <v>0</v>
      </c>
      <c r="AC249">
        <v>0</v>
      </c>
      <c r="AD249">
        <v>0</v>
      </c>
      <c r="AE249">
        <v>883.19</v>
      </c>
      <c r="AF249">
        <v>0</v>
      </c>
      <c r="AG249">
        <v>0</v>
      </c>
      <c r="AH249">
        <v>0</v>
      </c>
      <c r="AI249">
        <v>21.02</v>
      </c>
      <c r="AJ249">
        <v>1</v>
      </c>
      <c r="AK249">
        <v>1</v>
      </c>
      <c r="AL249">
        <v>1</v>
      </c>
      <c r="AM249">
        <v>2</v>
      </c>
      <c r="AN249">
        <v>0</v>
      </c>
      <c r="AO249">
        <v>1</v>
      </c>
      <c r="AP249">
        <v>1</v>
      </c>
      <c r="AQ249">
        <v>0</v>
      </c>
      <c r="AR249">
        <v>0</v>
      </c>
      <c r="AS249" t="s">
        <v>3</v>
      </c>
      <c r="AT249">
        <v>0.74</v>
      </c>
      <c r="AU249" t="s">
        <v>3</v>
      </c>
      <c r="AV249">
        <v>0</v>
      </c>
      <c r="AW249">
        <v>2</v>
      </c>
      <c r="AX249">
        <v>94799730</v>
      </c>
      <c r="AY249">
        <v>1</v>
      </c>
      <c r="AZ249">
        <v>0</v>
      </c>
      <c r="BA249">
        <v>249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V249">
        <v>0</v>
      </c>
      <c r="CW249">
        <v>0</v>
      </c>
      <c r="CX249">
        <f>ROUND(Y249*Source!I318,9)</f>
        <v>3.552E-3</v>
      </c>
      <c r="CY249">
        <f t="shared" si="108"/>
        <v>18564.650000000001</v>
      </c>
      <c r="CZ249">
        <f t="shared" si="109"/>
        <v>883.19</v>
      </c>
      <c r="DA249">
        <f t="shared" si="110"/>
        <v>21.02</v>
      </c>
      <c r="DB249">
        <f t="shared" si="98"/>
        <v>653.55999999999995</v>
      </c>
      <c r="DC249">
        <f t="shared" si="99"/>
        <v>0</v>
      </c>
      <c r="DD249" t="s">
        <v>3</v>
      </c>
      <c r="DE249" t="s">
        <v>3</v>
      </c>
      <c r="DF249">
        <f t="shared" si="111"/>
        <v>65.94</v>
      </c>
      <c r="DG249">
        <f t="shared" si="112"/>
        <v>0</v>
      </c>
      <c r="DH249">
        <f t="shared" si="113"/>
        <v>0</v>
      </c>
      <c r="DI249">
        <f t="shared" si="83"/>
        <v>0</v>
      </c>
      <c r="DJ249">
        <f t="shared" si="114"/>
        <v>65.94</v>
      </c>
      <c r="DK249">
        <v>0</v>
      </c>
      <c r="DL249" t="s">
        <v>3</v>
      </c>
      <c r="DM249">
        <v>0</v>
      </c>
      <c r="DN249" t="s">
        <v>3</v>
      </c>
      <c r="DO249">
        <v>0</v>
      </c>
    </row>
    <row r="250" spans="1:119" x14ac:dyDescent="0.2">
      <c r="A250">
        <f>ROW(Source!A318)</f>
        <v>318</v>
      </c>
      <c r="B250">
        <v>94798619</v>
      </c>
      <c r="C250">
        <v>94799699</v>
      </c>
      <c r="D250">
        <v>37753198</v>
      </c>
      <c r="E250">
        <v>1</v>
      </c>
      <c r="F250">
        <v>1</v>
      </c>
      <c r="G250">
        <v>1</v>
      </c>
      <c r="H250">
        <v>3</v>
      </c>
      <c r="I250" t="s">
        <v>943</v>
      </c>
      <c r="J250" t="s">
        <v>944</v>
      </c>
      <c r="K250" t="s">
        <v>945</v>
      </c>
      <c r="L250">
        <v>1327</v>
      </c>
      <c r="N250">
        <v>1005</v>
      </c>
      <c r="O250" t="s">
        <v>201</v>
      </c>
      <c r="P250" t="s">
        <v>201</v>
      </c>
      <c r="Q250">
        <v>1</v>
      </c>
      <c r="W250">
        <v>0</v>
      </c>
      <c r="X250">
        <v>-838992557</v>
      </c>
      <c r="Y250">
        <f t="shared" si="97"/>
        <v>64.099999999999994</v>
      </c>
      <c r="AA250">
        <v>661.21</v>
      </c>
      <c r="AB250">
        <v>0</v>
      </c>
      <c r="AC250">
        <v>0</v>
      </c>
      <c r="AD250">
        <v>0</v>
      </c>
      <c r="AE250">
        <v>35.53</v>
      </c>
      <c r="AF250">
        <v>0</v>
      </c>
      <c r="AG250">
        <v>0</v>
      </c>
      <c r="AH250">
        <v>0</v>
      </c>
      <c r="AI250">
        <v>18.61</v>
      </c>
      <c r="AJ250">
        <v>1</v>
      </c>
      <c r="AK250">
        <v>1</v>
      </c>
      <c r="AL250">
        <v>1</v>
      </c>
      <c r="AM250">
        <v>2</v>
      </c>
      <c r="AN250">
        <v>0</v>
      </c>
      <c r="AO250">
        <v>1</v>
      </c>
      <c r="AP250">
        <v>1</v>
      </c>
      <c r="AQ250">
        <v>0</v>
      </c>
      <c r="AR250">
        <v>0</v>
      </c>
      <c r="AS250" t="s">
        <v>3</v>
      </c>
      <c r="AT250">
        <v>64.099999999999994</v>
      </c>
      <c r="AU250" t="s">
        <v>3</v>
      </c>
      <c r="AV250">
        <v>0</v>
      </c>
      <c r="AW250">
        <v>2</v>
      </c>
      <c r="AX250">
        <v>94799731</v>
      </c>
      <c r="AY250">
        <v>1</v>
      </c>
      <c r="AZ250">
        <v>0</v>
      </c>
      <c r="BA250">
        <v>250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V250">
        <v>0</v>
      </c>
      <c r="CW250">
        <v>0</v>
      </c>
      <c r="CX250">
        <f>ROUND(Y250*Source!I318,9)</f>
        <v>0.30768000000000001</v>
      </c>
      <c r="CY250">
        <f t="shared" si="108"/>
        <v>661.21</v>
      </c>
      <c r="CZ250">
        <f t="shared" si="109"/>
        <v>35.53</v>
      </c>
      <c r="DA250">
        <f t="shared" si="110"/>
        <v>18.61</v>
      </c>
      <c r="DB250">
        <f t="shared" si="98"/>
        <v>2277.4699999999998</v>
      </c>
      <c r="DC250">
        <f t="shared" si="99"/>
        <v>0</v>
      </c>
      <c r="DD250" t="s">
        <v>3</v>
      </c>
      <c r="DE250" t="s">
        <v>3</v>
      </c>
      <c r="DF250">
        <f t="shared" si="111"/>
        <v>203.44</v>
      </c>
      <c r="DG250">
        <f t="shared" si="112"/>
        <v>0</v>
      </c>
      <c r="DH250">
        <f t="shared" si="113"/>
        <v>0</v>
      </c>
      <c r="DI250">
        <f t="shared" si="83"/>
        <v>0</v>
      </c>
      <c r="DJ250">
        <f t="shared" si="114"/>
        <v>203.44</v>
      </c>
      <c r="DK250">
        <v>0</v>
      </c>
      <c r="DL250" t="s">
        <v>3</v>
      </c>
      <c r="DM250">
        <v>0</v>
      </c>
      <c r="DN250" t="s">
        <v>3</v>
      </c>
      <c r="DO250">
        <v>0</v>
      </c>
    </row>
    <row r="251" spans="1:119" x14ac:dyDescent="0.2">
      <c r="A251">
        <f>ROW(Source!A318)</f>
        <v>318</v>
      </c>
      <c r="B251">
        <v>94798619</v>
      </c>
      <c r="C251">
        <v>94799699</v>
      </c>
      <c r="D251">
        <v>37753208</v>
      </c>
      <c r="E251">
        <v>1</v>
      </c>
      <c r="F251">
        <v>1</v>
      </c>
      <c r="G251">
        <v>1</v>
      </c>
      <c r="H251">
        <v>3</v>
      </c>
      <c r="I251" t="s">
        <v>897</v>
      </c>
      <c r="J251" t="s">
        <v>898</v>
      </c>
      <c r="K251" t="s">
        <v>899</v>
      </c>
      <c r="L251">
        <v>1348</v>
      </c>
      <c r="N251">
        <v>1009</v>
      </c>
      <c r="O251" t="s">
        <v>170</v>
      </c>
      <c r="P251" t="s">
        <v>170</v>
      </c>
      <c r="Q251">
        <v>1000</v>
      </c>
      <c r="W251">
        <v>0</v>
      </c>
      <c r="X251">
        <v>-1148993080</v>
      </c>
      <c r="Y251">
        <f t="shared" si="97"/>
        <v>4.5</v>
      </c>
      <c r="AA251">
        <v>68931.7</v>
      </c>
      <c r="AB251">
        <v>0</v>
      </c>
      <c r="AC251">
        <v>0</v>
      </c>
      <c r="AD251">
        <v>0</v>
      </c>
      <c r="AE251">
        <v>5734.75</v>
      </c>
      <c r="AF251">
        <v>0</v>
      </c>
      <c r="AG251">
        <v>0</v>
      </c>
      <c r="AH251">
        <v>0</v>
      </c>
      <c r="AI251">
        <v>12.02</v>
      </c>
      <c r="AJ251">
        <v>1</v>
      </c>
      <c r="AK251">
        <v>1</v>
      </c>
      <c r="AL251">
        <v>1</v>
      </c>
      <c r="AM251">
        <v>2</v>
      </c>
      <c r="AN251">
        <v>0</v>
      </c>
      <c r="AO251">
        <v>1</v>
      </c>
      <c r="AP251">
        <v>1</v>
      </c>
      <c r="AQ251">
        <v>0</v>
      </c>
      <c r="AR251">
        <v>0</v>
      </c>
      <c r="AS251" t="s">
        <v>3</v>
      </c>
      <c r="AT251">
        <v>4.5</v>
      </c>
      <c r="AU251" t="s">
        <v>3</v>
      </c>
      <c r="AV251">
        <v>0</v>
      </c>
      <c r="AW251">
        <v>2</v>
      </c>
      <c r="AX251">
        <v>94799732</v>
      </c>
      <c r="AY251">
        <v>1</v>
      </c>
      <c r="AZ251">
        <v>0</v>
      </c>
      <c r="BA251">
        <v>251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V251">
        <v>0</v>
      </c>
      <c r="CW251">
        <v>0</v>
      </c>
      <c r="CX251">
        <f>ROUND(Y251*Source!I318,9)</f>
        <v>2.1600000000000001E-2</v>
      </c>
      <c r="CY251">
        <f t="shared" si="108"/>
        <v>68931.7</v>
      </c>
      <c r="CZ251">
        <f t="shared" si="109"/>
        <v>5734.75</v>
      </c>
      <c r="DA251">
        <f t="shared" si="110"/>
        <v>12.02</v>
      </c>
      <c r="DB251">
        <f t="shared" si="98"/>
        <v>25806.38</v>
      </c>
      <c r="DC251">
        <f t="shared" si="99"/>
        <v>0</v>
      </c>
      <c r="DD251" t="s">
        <v>3</v>
      </c>
      <c r="DE251" t="s">
        <v>3</v>
      </c>
      <c r="DF251">
        <f t="shared" si="111"/>
        <v>1488.92</v>
      </c>
      <c r="DG251">
        <f t="shared" si="112"/>
        <v>0</v>
      </c>
      <c r="DH251">
        <f t="shared" si="113"/>
        <v>0</v>
      </c>
      <c r="DI251">
        <f t="shared" si="83"/>
        <v>0</v>
      </c>
      <c r="DJ251">
        <f t="shared" si="114"/>
        <v>1488.92</v>
      </c>
      <c r="DK251">
        <v>0</v>
      </c>
      <c r="DL251" t="s">
        <v>3</v>
      </c>
      <c r="DM251">
        <v>0</v>
      </c>
      <c r="DN251" t="s">
        <v>3</v>
      </c>
      <c r="DO251">
        <v>0</v>
      </c>
    </row>
    <row r="252" spans="1:119" x14ac:dyDescent="0.2">
      <c r="A252">
        <f>ROW(Source!A318)</f>
        <v>318</v>
      </c>
      <c r="B252">
        <v>94798619</v>
      </c>
      <c r="C252">
        <v>94799699</v>
      </c>
      <c r="D252">
        <v>37767864</v>
      </c>
      <c r="E252">
        <v>1</v>
      </c>
      <c r="F252">
        <v>1</v>
      </c>
      <c r="G252">
        <v>1</v>
      </c>
      <c r="H252">
        <v>3</v>
      </c>
      <c r="I252" t="s">
        <v>412</v>
      </c>
      <c r="J252" t="s">
        <v>414</v>
      </c>
      <c r="K252" t="s">
        <v>413</v>
      </c>
      <c r="L252">
        <v>1339</v>
      </c>
      <c r="N252">
        <v>1007</v>
      </c>
      <c r="O252" t="s">
        <v>52</v>
      </c>
      <c r="P252" t="s">
        <v>52</v>
      </c>
      <c r="Q252">
        <v>1</v>
      </c>
      <c r="W252">
        <v>0</v>
      </c>
      <c r="X252">
        <v>-1056028514</v>
      </c>
      <c r="Y252">
        <f t="shared" si="97"/>
        <v>101.5</v>
      </c>
      <c r="AA252">
        <v>7064.28</v>
      </c>
      <c r="AB252">
        <v>0</v>
      </c>
      <c r="AC252">
        <v>0</v>
      </c>
      <c r="AD252">
        <v>0</v>
      </c>
      <c r="AE252">
        <v>633</v>
      </c>
      <c r="AF252">
        <v>0</v>
      </c>
      <c r="AG252">
        <v>0</v>
      </c>
      <c r="AH252">
        <v>0</v>
      </c>
      <c r="AI252">
        <v>11.16</v>
      </c>
      <c r="AJ252">
        <v>1</v>
      </c>
      <c r="AK252">
        <v>1</v>
      </c>
      <c r="AL252">
        <v>1</v>
      </c>
      <c r="AM252">
        <v>2</v>
      </c>
      <c r="AN252">
        <v>0</v>
      </c>
      <c r="AO252">
        <v>1</v>
      </c>
      <c r="AP252">
        <v>1</v>
      </c>
      <c r="AQ252">
        <v>0</v>
      </c>
      <c r="AR252">
        <v>0</v>
      </c>
      <c r="AS252" t="s">
        <v>3</v>
      </c>
      <c r="AT252">
        <v>101.5</v>
      </c>
      <c r="AU252" t="s">
        <v>3</v>
      </c>
      <c r="AV252">
        <v>0</v>
      </c>
      <c r="AW252">
        <v>2</v>
      </c>
      <c r="AX252">
        <v>94799733</v>
      </c>
      <c r="AY252">
        <v>1</v>
      </c>
      <c r="AZ252">
        <v>0</v>
      </c>
      <c r="BA252">
        <v>252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V252">
        <v>0</v>
      </c>
      <c r="CW252">
        <v>0</v>
      </c>
      <c r="CX252">
        <f>ROUND(Y252*Source!I318,9)</f>
        <v>0.48720000000000002</v>
      </c>
      <c r="CY252">
        <f t="shared" si="108"/>
        <v>7064.28</v>
      </c>
      <c r="CZ252">
        <f t="shared" si="109"/>
        <v>633</v>
      </c>
      <c r="DA252">
        <f t="shared" si="110"/>
        <v>11.16</v>
      </c>
      <c r="DB252">
        <f t="shared" si="98"/>
        <v>64249.5</v>
      </c>
      <c r="DC252">
        <f t="shared" si="99"/>
        <v>0</v>
      </c>
      <c r="DD252" t="s">
        <v>3</v>
      </c>
      <c r="DE252" t="s">
        <v>3</v>
      </c>
      <c r="DF252">
        <f t="shared" si="111"/>
        <v>3441.72</v>
      </c>
      <c r="DG252">
        <f t="shared" si="112"/>
        <v>0</v>
      </c>
      <c r="DH252">
        <f t="shared" si="113"/>
        <v>0</v>
      </c>
      <c r="DI252">
        <f t="shared" si="83"/>
        <v>0</v>
      </c>
      <c r="DJ252">
        <f t="shared" si="114"/>
        <v>3441.72</v>
      </c>
      <c r="DK252">
        <v>0</v>
      </c>
      <c r="DL252" t="s">
        <v>3</v>
      </c>
      <c r="DM252">
        <v>0</v>
      </c>
      <c r="DN252" t="s">
        <v>3</v>
      </c>
      <c r="DO252">
        <v>0</v>
      </c>
    </row>
    <row r="253" spans="1:119" x14ac:dyDescent="0.2">
      <c r="A253">
        <f>ROW(Source!A318)</f>
        <v>318</v>
      </c>
      <c r="B253">
        <v>94798619</v>
      </c>
      <c r="C253">
        <v>94799699</v>
      </c>
      <c r="D253">
        <v>37777055</v>
      </c>
      <c r="E253">
        <v>1</v>
      </c>
      <c r="F253">
        <v>1</v>
      </c>
      <c r="G253">
        <v>1</v>
      </c>
      <c r="H253">
        <v>3</v>
      </c>
      <c r="I253" t="s">
        <v>946</v>
      </c>
      <c r="J253" t="s">
        <v>947</v>
      </c>
      <c r="K253" t="s">
        <v>948</v>
      </c>
      <c r="L253">
        <v>1348</v>
      </c>
      <c r="N253">
        <v>1009</v>
      </c>
      <c r="O253" t="s">
        <v>170</v>
      </c>
      <c r="P253" t="s">
        <v>170</v>
      </c>
      <c r="Q253">
        <v>1000</v>
      </c>
      <c r="W253">
        <v>0</v>
      </c>
      <c r="X253">
        <v>-491875681</v>
      </c>
      <c r="Y253">
        <f t="shared" si="97"/>
        <v>2.7E-2</v>
      </c>
      <c r="AA253">
        <v>5221.4799999999996</v>
      </c>
      <c r="AB253">
        <v>0</v>
      </c>
      <c r="AC253">
        <v>0</v>
      </c>
      <c r="AD253">
        <v>0</v>
      </c>
      <c r="AE253">
        <v>489.82</v>
      </c>
      <c r="AF253">
        <v>0</v>
      </c>
      <c r="AG253">
        <v>0</v>
      </c>
      <c r="AH253">
        <v>0</v>
      </c>
      <c r="AI253">
        <v>10.66</v>
      </c>
      <c r="AJ253">
        <v>1</v>
      </c>
      <c r="AK253">
        <v>1</v>
      </c>
      <c r="AL253">
        <v>1</v>
      </c>
      <c r="AM253">
        <v>2</v>
      </c>
      <c r="AN253">
        <v>0</v>
      </c>
      <c r="AO253">
        <v>1</v>
      </c>
      <c r="AP253">
        <v>1</v>
      </c>
      <c r="AQ253">
        <v>0</v>
      </c>
      <c r="AR253">
        <v>0</v>
      </c>
      <c r="AS253" t="s">
        <v>3</v>
      </c>
      <c r="AT253">
        <v>2.7E-2</v>
      </c>
      <c r="AU253" t="s">
        <v>3</v>
      </c>
      <c r="AV253">
        <v>0</v>
      </c>
      <c r="AW253">
        <v>2</v>
      </c>
      <c r="AX253">
        <v>94799734</v>
      </c>
      <c r="AY253">
        <v>1</v>
      </c>
      <c r="AZ253">
        <v>0</v>
      </c>
      <c r="BA253">
        <v>253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V253">
        <v>0</v>
      </c>
      <c r="CW253">
        <v>0</v>
      </c>
      <c r="CX253">
        <f>ROUND(Y253*Source!I318,9)</f>
        <v>1.2960000000000001E-4</v>
      </c>
      <c r="CY253">
        <f t="shared" si="108"/>
        <v>5221.4799999999996</v>
      </c>
      <c r="CZ253">
        <f t="shared" si="109"/>
        <v>489.82</v>
      </c>
      <c r="DA253">
        <f t="shared" si="110"/>
        <v>10.66</v>
      </c>
      <c r="DB253">
        <f t="shared" si="98"/>
        <v>13.23</v>
      </c>
      <c r="DC253">
        <f t="shared" si="99"/>
        <v>0</v>
      </c>
      <c r="DD253" t="s">
        <v>3</v>
      </c>
      <c r="DE253" t="s">
        <v>3</v>
      </c>
      <c r="DF253">
        <f t="shared" si="111"/>
        <v>0.68</v>
      </c>
      <c r="DG253">
        <f t="shared" si="112"/>
        <v>0</v>
      </c>
      <c r="DH253">
        <f t="shared" si="113"/>
        <v>0</v>
      </c>
      <c r="DI253">
        <f t="shared" si="83"/>
        <v>0</v>
      </c>
      <c r="DJ253">
        <f t="shared" si="114"/>
        <v>0.68</v>
      </c>
      <c r="DK253">
        <v>0</v>
      </c>
      <c r="DL253" t="s">
        <v>3</v>
      </c>
      <c r="DM253">
        <v>0</v>
      </c>
      <c r="DN253" t="s">
        <v>3</v>
      </c>
      <c r="DO253">
        <v>0</v>
      </c>
    </row>
    <row r="254" spans="1:119" x14ac:dyDescent="0.2">
      <c r="A254">
        <f>ROW(Source!A318)</f>
        <v>318</v>
      </c>
      <c r="B254">
        <v>94798619</v>
      </c>
      <c r="C254">
        <v>94799699</v>
      </c>
      <c r="D254">
        <v>37777802</v>
      </c>
      <c r="E254">
        <v>1</v>
      </c>
      <c r="F254">
        <v>1</v>
      </c>
      <c r="G254">
        <v>1</v>
      </c>
      <c r="H254">
        <v>3</v>
      </c>
      <c r="I254" t="s">
        <v>883</v>
      </c>
      <c r="J254" t="s">
        <v>884</v>
      </c>
      <c r="K254" t="s">
        <v>885</v>
      </c>
      <c r="L254">
        <v>1339</v>
      </c>
      <c r="N254">
        <v>1007</v>
      </c>
      <c r="O254" t="s">
        <v>52</v>
      </c>
      <c r="P254" t="s">
        <v>52</v>
      </c>
      <c r="Q254">
        <v>1</v>
      </c>
      <c r="W254">
        <v>0</v>
      </c>
      <c r="X254">
        <v>-1418712732</v>
      </c>
      <c r="Y254">
        <f t="shared" si="97"/>
        <v>0.441</v>
      </c>
      <c r="AA254">
        <v>19.59</v>
      </c>
      <c r="AB254">
        <v>0</v>
      </c>
      <c r="AC254">
        <v>0</v>
      </c>
      <c r="AD254">
        <v>0</v>
      </c>
      <c r="AE254">
        <v>2.4700000000000002</v>
      </c>
      <c r="AF254">
        <v>0</v>
      </c>
      <c r="AG254">
        <v>0</v>
      </c>
      <c r="AH254">
        <v>0</v>
      </c>
      <c r="AI254">
        <v>7.93</v>
      </c>
      <c r="AJ254">
        <v>1</v>
      </c>
      <c r="AK254">
        <v>1</v>
      </c>
      <c r="AL254">
        <v>1</v>
      </c>
      <c r="AM254">
        <v>2</v>
      </c>
      <c r="AN254">
        <v>0</v>
      </c>
      <c r="AO254">
        <v>1</v>
      </c>
      <c r="AP254">
        <v>1</v>
      </c>
      <c r="AQ254">
        <v>0</v>
      </c>
      <c r="AR254">
        <v>0</v>
      </c>
      <c r="AS254" t="s">
        <v>3</v>
      </c>
      <c r="AT254">
        <v>0.441</v>
      </c>
      <c r="AU254" t="s">
        <v>3</v>
      </c>
      <c r="AV254">
        <v>0</v>
      </c>
      <c r="AW254">
        <v>2</v>
      </c>
      <c r="AX254">
        <v>94799735</v>
      </c>
      <c r="AY254">
        <v>1</v>
      </c>
      <c r="AZ254">
        <v>0</v>
      </c>
      <c r="BA254">
        <v>254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V254">
        <v>0</v>
      </c>
      <c r="CW254">
        <v>0</v>
      </c>
      <c r="CX254">
        <f>ROUND(Y254*Source!I318,9)</f>
        <v>2.1167999999999998E-3</v>
      </c>
      <c r="CY254">
        <f t="shared" si="108"/>
        <v>19.59</v>
      </c>
      <c r="CZ254">
        <f t="shared" si="109"/>
        <v>2.4700000000000002</v>
      </c>
      <c r="DA254">
        <f t="shared" si="110"/>
        <v>7.93</v>
      </c>
      <c r="DB254">
        <f t="shared" si="98"/>
        <v>1.0900000000000001</v>
      </c>
      <c r="DC254">
        <f t="shared" si="99"/>
        <v>0</v>
      </c>
      <c r="DD254" t="s">
        <v>3</v>
      </c>
      <c r="DE254" t="s">
        <v>3</v>
      </c>
      <c r="DF254">
        <f t="shared" si="111"/>
        <v>0.04</v>
      </c>
      <c r="DG254">
        <f t="shared" si="112"/>
        <v>0</v>
      </c>
      <c r="DH254">
        <f t="shared" si="113"/>
        <v>0</v>
      </c>
      <c r="DI254">
        <f t="shared" si="83"/>
        <v>0</v>
      </c>
      <c r="DJ254">
        <f t="shared" si="114"/>
        <v>0.04</v>
      </c>
      <c r="DK254">
        <v>0</v>
      </c>
      <c r="DL254" t="s">
        <v>3</v>
      </c>
      <c r="DM254">
        <v>0</v>
      </c>
      <c r="DN254" t="s">
        <v>3</v>
      </c>
      <c r="DO254">
        <v>0</v>
      </c>
    </row>
    <row r="255" spans="1:119" x14ac:dyDescent="0.2">
      <c r="A255">
        <f>ROW(Source!A319)</f>
        <v>319</v>
      </c>
      <c r="B255">
        <v>94798619</v>
      </c>
      <c r="C255">
        <v>94799736</v>
      </c>
      <c r="D255">
        <v>23134955</v>
      </c>
      <c r="E255">
        <v>1</v>
      </c>
      <c r="F255">
        <v>1</v>
      </c>
      <c r="G255">
        <v>1</v>
      </c>
      <c r="H255">
        <v>1</v>
      </c>
      <c r="I255" t="s">
        <v>772</v>
      </c>
      <c r="J255" t="s">
        <v>3</v>
      </c>
      <c r="K255" t="s">
        <v>773</v>
      </c>
      <c r="L255">
        <v>1369</v>
      </c>
      <c r="N255">
        <v>1013</v>
      </c>
      <c r="O255" t="s">
        <v>696</v>
      </c>
      <c r="P255" t="s">
        <v>696</v>
      </c>
      <c r="Q255">
        <v>1</v>
      </c>
      <c r="W255">
        <v>0</v>
      </c>
      <c r="X255">
        <v>-1698459243</v>
      </c>
      <c r="Y255">
        <f t="shared" si="97"/>
        <v>8.5399999999999991</v>
      </c>
      <c r="AA255">
        <v>0</v>
      </c>
      <c r="AB255">
        <v>0</v>
      </c>
      <c r="AC255">
        <v>0</v>
      </c>
      <c r="AD255">
        <v>8.17</v>
      </c>
      <c r="AE255">
        <v>0</v>
      </c>
      <c r="AF255">
        <v>0</v>
      </c>
      <c r="AG255">
        <v>0</v>
      </c>
      <c r="AH255">
        <v>8.17</v>
      </c>
      <c r="AI255">
        <v>1</v>
      </c>
      <c r="AJ255">
        <v>1</v>
      </c>
      <c r="AK255">
        <v>1</v>
      </c>
      <c r="AL255">
        <v>1</v>
      </c>
      <c r="AM255">
        <v>-2</v>
      </c>
      <c r="AN255">
        <v>0</v>
      </c>
      <c r="AO255">
        <v>1</v>
      </c>
      <c r="AP255">
        <v>1</v>
      </c>
      <c r="AQ255">
        <v>0</v>
      </c>
      <c r="AR255">
        <v>0</v>
      </c>
      <c r="AS255" t="s">
        <v>3</v>
      </c>
      <c r="AT255">
        <v>8.5399999999999991</v>
      </c>
      <c r="AU255" t="s">
        <v>3</v>
      </c>
      <c r="AV255">
        <v>1</v>
      </c>
      <c r="AW255">
        <v>2</v>
      </c>
      <c r="AX255">
        <v>94799744</v>
      </c>
      <c r="AY255">
        <v>1</v>
      </c>
      <c r="AZ255">
        <v>0</v>
      </c>
      <c r="BA255">
        <v>255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U255">
        <f>ROUND(AT255*Source!I319*AH255*AL255,2)</f>
        <v>21.09</v>
      </c>
      <c r="CV255">
        <f>ROUND(Y255*Source!I319,9)</f>
        <v>2.5812149999999998</v>
      </c>
      <c r="CW255">
        <v>0</v>
      </c>
      <c r="CX255">
        <f>ROUND(Y255*Source!I319,9)</f>
        <v>2.5812149999999998</v>
      </c>
      <c r="CY255">
        <f>AD255</f>
        <v>8.17</v>
      </c>
      <c r="CZ255">
        <f>AH255</f>
        <v>8.17</v>
      </c>
      <c r="DA255">
        <f>AL255</f>
        <v>1</v>
      </c>
      <c r="DB255">
        <f t="shared" si="98"/>
        <v>69.77</v>
      </c>
      <c r="DC255">
        <f t="shared" si="99"/>
        <v>0</v>
      </c>
      <c r="DD255" t="s">
        <v>3</v>
      </c>
      <c r="DE255" t="s">
        <v>3</v>
      </c>
      <c r="DF255">
        <f>ROUND(ROUND(AE255,2)*CX255,2)</f>
        <v>0</v>
      </c>
      <c r="DG255">
        <f t="shared" si="112"/>
        <v>0</v>
      </c>
      <c r="DH255">
        <f t="shared" si="113"/>
        <v>0</v>
      </c>
      <c r="DI255">
        <f t="shared" si="83"/>
        <v>21.09</v>
      </c>
      <c r="DJ255">
        <f>DI255</f>
        <v>21.09</v>
      </c>
      <c r="DK255">
        <v>0</v>
      </c>
      <c r="DL255" t="s">
        <v>3</v>
      </c>
      <c r="DM255">
        <v>0</v>
      </c>
      <c r="DN255" t="s">
        <v>3</v>
      </c>
      <c r="DO255">
        <v>0</v>
      </c>
    </row>
    <row r="256" spans="1:119" x14ac:dyDescent="0.2">
      <c r="A256">
        <f>ROW(Source!A319)</f>
        <v>319</v>
      </c>
      <c r="B256">
        <v>94798619</v>
      </c>
      <c r="C256">
        <v>94799736</v>
      </c>
      <c r="D256">
        <v>121548</v>
      </c>
      <c r="E256">
        <v>1</v>
      </c>
      <c r="F256">
        <v>1</v>
      </c>
      <c r="G256">
        <v>1</v>
      </c>
      <c r="H256">
        <v>1</v>
      </c>
      <c r="I256" t="s">
        <v>28</v>
      </c>
      <c r="J256" t="s">
        <v>3</v>
      </c>
      <c r="K256" t="s">
        <v>705</v>
      </c>
      <c r="L256">
        <v>608254</v>
      </c>
      <c r="N256">
        <v>1013</v>
      </c>
      <c r="O256" t="s">
        <v>706</v>
      </c>
      <c r="P256" t="s">
        <v>706</v>
      </c>
      <c r="Q256">
        <v>1</v>
      </c>
      <c r="W256">
        <v>0</v>
      </c>
      <c r="X256">
        <v>-185737400</v>
      </c>
      <c r="Y256">
        <f t="shared" si="97"/>
        <v>0.39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M256">
        <v>-2</v>
      </c>
      <c r="AN256">
        <v>0</v>
      </c>
      <c r="AO256">
        <v>1</v>
      </c>
      <c r="AP256">
        <v>1</v>
      </c>
      <c r="AQ256">
        <v>0</v>
      </c>
      <c r="AR256">
        <v>0</v>
      </c>
      <c r="AS256" t="s">
        <v>3</v>
      </c>
      <c r="AT256">
        <v>0.39</v>
      </c>
      <c r="AU256" t="s">
        <v>3</v>
      </c>
      <c r="AV256">
        <v>2</v>
      </c>
      <c r="AW256">
        <v>2</v>
      </c>
      <c r="AX256">
        <v>94799745</v>
      </c>
      <c r="AY256">
        <v>1</v>
      </c>
      <c r="AZ256">
        <v>0</v>
      </c>
      <c r="BA256">
        <v>256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V256">
        <v>0</v>
      </c>
      <c r="CW256">
        <v>0</v>
      </c>
      <c r="CX256">
        <f>ROUND(Y256*Source!I319,9)</f>
        <v>0.1178775</v>
      </c>
      <c r="CY256">
        <f>AD256</f>
        <v>0</v>
      </c>
      <c r="CZ256">
        <f>AH256</f>
        <v>0</v>
      </c>
      <c r="DA256">
        <f>AL256</f>
        <v>1</v>
      </c>
      <c r="DB256">
        <f t="shared" si="98"/>
        <v>0</v>
      </c>
      <c r="DC256">
        <f t="shared" si="99"/>
        <v>0</v>
      </c>
      <c r="DD256" t="s">
        <v>3</v>
      </c>
      <c r="DE256" t="s">
        <v>3</v>
      </c>
      <c r="DF256">
        <f>ROUND(ROUND(AE256,2)*CX256,2)</f>
        <v>0</v>
      </c>
      <c r="DG256">
        <f t="shared" si="112"/>
        <v>0</v>
      </c>
      <c r="DH256">
        <f t="shared" si="113"/>
        <v>0</v>
      </c>
      <c r="DI256">
        <f t="shared" si="83"/>
        <v>0</v>
      </c>
      <c r="DJ256">
        <f>DI256</f>
        <v>0</v>
      </c>
      <c r="DK256">
        <v>0</v>
      </c>
      <c r="DL256" t="s">
        <v>3</v>
      </c>
      <c r="DM256">
        <v>0</v>
      </c>
      <c r="DN256" t="s">
        <v>3</v>
      </c>
      <c r="DO256">
        <v>0</v>
      </c>
    </row>
    <row r="257" spans="1:119" x14ac:dyDescent="0.2">
      <c r="A257">
        <f>ROW(Source!A319)</f>
        <v>319</v>
      </c>
      <c r="B257">
        <v>94798619</v>
      </c>
      <c r="C257">
        <v>94799736</v>
      </c>
      <c r="D257">
        <v>37802359</v>
      </c>
      <c r="E257">
        <v>1</v>
      </c>
      <c r="F257">
        <v>1</v>
      </c>
      <c r="G257">
        <v>1</v>
      </c>
      <c r="H257">
        <v>2</v>
      </c>
      <c r="I257" t="s">
        <v>886</v>
      </c>
      <c r="J257" t="s">
        <v>887</v>
      </c>
      <c r="K257" t="s">
        <v>888</v>
      </c>
      <c r="L257">
        <v>1368</v>
      </c>
      <c r="N257">
        <v>1011</v>
      </c>
      <c r="O257" t="s">
        <v>700</v>
      </c>
      <c r="P257" t="s">
        <v>700</v>
      </c>
      <c r="Q257">
        <v>1</v>
      </c>
      <c r="W257">
        <v>0</v>
      </c>
      <c r="X257">
        <v>1604115853</v>
      </c>
      <c r="Y257">
        <f t="shared" si="97"/>
        <v>0.39</v>
      </c>
      <c r="AA257">
        <v>0</v>
      </c>
      <c r="AB257">
        <v>1247.05</v>
      </c>
      <c r="AC257">
        <v>426.77</v>
      </c>
      <c r="AD257">
        <v>0</v>
      </c>
      <c r="AE257">
        <v>0</v>
      </c>
      <c r="AF257">
        <v>103.49</v>
      </c>
      <c r="AG257">
        <v>12.1</v>
      </c>
      <c r="AH257">
        <v>0</v>
      </c>
      <c r="AI257">
        <v>1</v>
      </c>
      <c r="AJ257">
        <v>12.05</v>
      </c>
      <c r="AK257">
        <v>35.270000000000003</v>
      </c>
      <c r="AL257">
        <v>1</v>
      </c>
      <c r="AM257">
        <v>2</v>
      </c>
      <c r="AN257">
        <v>0</v>
      </c>
      <c r="AO257">
        <v>1</v>
      </c>
      <c r="AP257">
        <v>1</v>
      </c>
      <c r="AQ257">
        <v>0</v>
      </c>
      <c r="AR257">
        <v>0</v>
      </c>
      <c r="AS257" t="s">
        <v>3</v>
      </c>
      <c r="AT257">
        <v>0.39</v>
      </c>
      <c r="AU257" t="s">
        <v>3</v>
      </c>
      <c r="AV257">
        <v>0</v>
      </c>
      <c r="AW257">
        <v>2</v>
      </c>
      <c r="AX257">
        <v>94799746</v>
      </c>
      <c r="AY257">
        <v>1</v>
      </c>
      <c r="AZ257">
        <v>0</v>
      </c>
      <c r="BA257">
        <v>257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V257">
        <v>0</v>
      </c>
      <c r="CW257">
        <f>ROUND(Y257*Source!I319*DO257,9)</f>
        <v>0</v>
      </c>
      <c r="CX257">
        <f>ROUND(Y257*Source!I319,9)</f>
        <v>0.1178775</v>
      </c>
      <c r="CY257">
        <f>AB257</f>
        <v>1247.05</v>
      </c>
      <c r="CZ257">
        <f>AF257</f>
        <v>103.49</v>
      </c>
      <c r="DA257">
        <f>AJ257</f>
        <v>12.05</v>
      </c>
      <c r="DB257">
        <f t="shared" si="98"/>
        <v>40.36</v>
      </c>
      <c r="DC257">
        <f t="shared" si="99"/>
        <v>4.72</v>
      </c>
      <c r="DD257" t="s">
        <v>3</v>
      </c>
      <c r="DE257" t="s">
        <v>3</v>
      </c>
      <c r="DF257">
        <f>ROUND(ROUND(AE257,2)*CX257,2)</f>
        <v>0</v>
      </c>
      <c r="DG257">
        <f>ROUND(ROUND(AF257*AJ257,2)*CX257,2)</f>
        <v>147</v>
      </c>
      <c r="DH257">
        <f>ROUND(ROUND(AG257*AK257,2)*CX257,2)</f>
        <v>50.31</v>
      </c>
      <c r="DI257">
        <f t="shared" ref="DI257:DI320" si="115">ROUND(ROUND(AH257,2)*CX257,2)</f>
        <v>0</v>
      </c>
      <c r="DJ257">
        <f>DG257</f>
        <v>147</v>
      </c>
      <c r="DK257">
        <v>0</v>
      </c>
      <c r="DL257" t="s">
        <v>3</v>
      </c>
      <c r="DM257">
        <v>0</v>
      </c>
      <c r="DN257" t="s">
        <v>3</v>
      </c>
      <c r="DO257">
        <v>0</v>
      </c>
    </row>
    <row r="258" spans="1:119" x14ac:dyDescent="0.2">
      <c r="A258">
        <f>ROW(Source!A319)</f>
        <v>319</v>
      </c>
      <c r="B258">
        <v>94798619</v>
      </c>
      <c r="C258">
        <v>94799736</v>
      </c>
      <c r="D258">
        <v>37738050</v>
      </c>
      <c r="E258">
        <v>1</v>
      </c>
      <c r="F258">
        <v>1</v>
      </c>
      <c r="G258">
        <v>1</v>
      </c>
      <c r="H258">
        <v>3</v>
      </c>
      <c r="I258" t="s">
        <v>949</v>
      </c>
      <c r="J258" t="s">
        <v>950</v>
      </c>
      <c r="K258" t="s">
        <v>951</v>
      </c>
      <c r="L258">
        <v>1339</v>
      </c>
      <c r="N258">
        <v>1007</v>
      </c>
      <c r="O258" t="s">
        <v>52</v>
      </c>
      <c r="P258" t="s">
        <v>52</v>
      </c>
      <c r="Q258">
        <v>1</v>
      </c>
      <c r="W258">
        <v>0</v>
      </c>
      <c r="X258">
        <v>-57994515</v>
      </c>
      <c r="Y258">
        <f t="shared" si="97"/>
        <v>5.0000000000000001E-4</v>
      </c>
      <c r="AA258">
        <v>8893.7199999999993</v>
      </c>
      <c r="AB258">
        <v>0</v>
      </c>
      <c r="AC258">
        <v>0</v>
      </c>
      <c r="AD258">
        <v>0</v>
      </c>
      <c r="AE258">
        <v>883.19</v>
      </c>
      <c r="AF258">
        <v>0</v>
      </c>
      <c r="AG258">
        <v>0</v>
      </c>
      <c r="AH258">
        <v>0</v>
      </c>
      <c r="AI258">
        <v>10.07</v>
      </c>
      <c r="AJ258">
        <v>1</v>
      </c>
      <c r="AK258">
        <v>1</v>
      </c>
      <c r="AL258">
        <v>1</v>
      </c>
      <c r="AM258">
        <v>2</v>
      </c>
      <c r="AN258">
        <v>0</v>
      </c>
      <c r="AO258">
        <v>1</v>
      </c>
      <c r="AP258">
        <v>1</v>
      </c>
      <c r="AQ258">
        <v>0</v>
      </c>
      <c r="AR258">
        <v>0</v>
      </c>
      <c r="AS258" t="s">
        <v>3</v>
      </c>
      <c r="AT258">
        <v>5.0000000000000001E-4</v>
      </c>
      <c r="AU258" t="s">
        <v>3</v>
      </c>
      <c r="AV258">
        <v>0</v>
      </c>
      <c r="AW258">
        <v>2</v>
      </c>
      <c r="AX258">
        <v>94799747</v>
      </c>
      <c r="AY258">
        <v>1</v>
      </c>
      <c r="AZ258">
        <v>0</v>
      </c>
      <c r="BA258">
        <v>258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V258">
        <v>0</v>
      </c>
      <c r="CW258">
        <v>0</v>
      </c>
      <c r="CX258">
        <f>ROUND(Y258*Source!I319,9)</f>
        <v>1.51125E-4</v>
      </c>
      <c r="CY258">
        <f>AA258</f>
        <v>8893.7199999999993</v>
      </c>
      <c r="CZ258">
        <f>AE258</f>
        <v>883.19</v>
      </c>
      <c r="DA258">
        <f>AI258</f>
        <v>10.07</v>
      </c>
      <c r="DB258">
        <f t="shared" si="98"/>
        <v>0.44</v>
      </c>
      <c r="DC258">
        <f t="shared" si="99"/>
        <v>0</v>
      </c>
      <c r="DD258" t="s">
        <v>3</v>
      </c>
      <c r="DE258" t="s">
        <v>3</v>
      </c>
      <c r="DF258">
        <f>ROUND(ROUND(AE258*AI258,2)*CX258,2)</f>
        <v>1.34</v>
      </c>
      <c r="DG258">
        <f t="shared" ref="DG258:DG263" si="116">ROUND(ROUND(AF258,2)*CX258,2)</f>
        <v>0</v>
      </c>
      <c r="DH258">
        <f t="shared" ref="DH258:DH263" si="117">ROUND(ROUND(AG258,2)*CX258,2)</f>
        <v>0</v>
      </c>
      <c r="DI258">
        <f t="shared" si="115"/>
        <v>0</v>
      </c>
      <c r="DJ258">
        <f>DF258</f>
        <v>1.34</v>
      </c>
      <c r="DK258">
        <v>0</v>
      </c>
      <c r="DL258" t="s">
        <v>3</v>
      </c>
      <c r="DM258">
        <v>0</v>
      </c>
      <c r="DN258" t="s">
        <v>3</v>
      </c>
      <c r="DO258">
        <v>0</v>
      </c>
    </row>
    <row r="259" spans="1:119" x14ac:dyDescent="0.2">
      <c r="A259">
        <f>ROW(Source!A319)</f>
        <v>319</v>
      </c>
      <c r="B259">
        <v>94798619</v>
      </c>
      <c r="C259">
        <v>94799736</v>
      </c>
      <c r="D259">
        <v>37768012</v>
      </c>
      <c r="E259">
        <v>1</v>
      </c>
      <c r="F259">
        <v>1</v>
      </c>
      <c r="G259">
        <v>1</v>
      </c>
      <c r="H259">
        <v>3</v>
      </c>
      <c r="I259" t="s">
        <v>952</v>
      </c>
      <c r="J259" t="s">
        <v>953</v>
      </c>
      <c r="K259" t="s">
        <v>954</v>
      </c>
      <c r="L259">
        <v>1339</v>
      </c>
      <c r="N259">
        <v>1007</v>
      </c>
      <c r="O259" t="s">
        <v>52</v>
      </c>
      <c r="P259" t="s">
        <v>52</v>
      </c>
      <c r="Q259">
        <v>1</v>
      </c>
      <c r="W259">
        <v>0</v>
      </c>
      <c r="X259">
        <v>-1940385917</v>
      </c>
      <c r="Y259">
        <f t="shared" si="97"/>
        <v>0.221</v>
      </c>
      <c r="AA259">
        <v>4531.5</v>
      </c>
      <c r="AB259">
        <v>0</v>
      </c>
      <c r="AC259">
        <v>0</v>
      </c>
      <c r="AD259">
        <v>0</v>
      </c>
      <c r="AE259">
        <v>318</v>
      </c>
      <c r="AF259">
        <v>0</v>
      </c>
      <c r="AG259">
        <v>0</v>
      </c>
      <c r="AH259">
        <v>0</v>
      </c>
      <c r="AI259">
        <v>14.25</v>
      </c>
      <c r="AJ259">
        <v>1</v>
      </c>
      <c r="AK259">
        <v>1</v>
      </c>
      <c r="AL259">
        <v>1</v>
      </c>
      <c r="AM259">
        <v>2</v>
      </c>
      <c r="AN259">
        <v>0</v>
      </c>
      <c r="AO259">
        <v>1</v>
      </c>
      <c r="AP259">
        <v>1</v>
      </c>
      <c r="AQ259">
        <v>0</v>
      </c>
      <c r="AR259">
        <v>0</v>
      </c>
      <c r="AS259" t="s">
        <v>3</v>
      </c>
      <c r="AT259">
        <v>0.221</v>
      </c>
      <c r="AU259" t="s">
        <v>3</v>
      </c>
      <c r="AV259">
        <v>0</v>
      </c>
      <c r="AW259">
        <v>2</v>
      </c>
      <c r="AX259">
        <v>94799748</v>
      </c>
      <c r="AY259">
        <v>1</v>
      </c>
      <c r="AZ259">
        <v>0</v>
      </c>
      <c r="BA259">
        <v>259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V259">
        <v>0</v>
      </c>
      <c r="CW259">
        <v>0</v>
      </c>
      <c r="CX259">
        <f>ROUND(Y259*Source!I319,9)</f>
        <v>6.6797250000000002E-2</v>
      </c>
      <c r="CY259">
        <f>AA259</f>
        <v>4531.5</v>
      </c>
      <c r="CZ259">
        <f>AE259</f>
        <v>318</v>
      </c>
      <c r="DA259">
        <f>AI259</f>
        <v>14.25</v>
      </c>
      <c r="DB259">
        <f t="shared" si="98"/>
        <v>70.28</v>
      </c>
      <c r="DC259">
        <f t="shared" si="99"/>
        <v>0</v>
      </c>
      <c r="DD259" t="s">
        <v>3</v>
      </c>
      <c r="DE259" t="s">
        <v>3</v>
      </c>
      <c r="DF259">
        <f>ROUND(ROUND(AE259*AI259,2)*CX259,2)</f>
        <v>302.69</v>
      </c>
      <c r="DG259">
        <f t="shared" si="116"/>
        <v>0</v>
      </c>
      <c r="DH259">
        <f t="shared" si="117"/>
        <v>0</v>
      </c>
      <c r="DI259">
        <f t="shared" si="115"/>
        <v>0</v>
      </c>
      <c r="DJ259">
        <f>DF259</f>
        <v>302.69</v>
      </c>
      <c r="DK259">
        <v>0</v>
      </c>
      <c r="DL259" t="s">
        <v>3</v>
      </c>
      <c r="DM259">
        <v>0</v>
      </c>
      <c r="DN259" t="s">
        <v>3</v>
      </c>
      <c r="DO259">
        <v>0</v>
      </c>
    </row>
    <row r="260" spans="1:119" x14ac:dyDescent="0.2">
      <c r="A260">
        <f>ROW(Source!A319)</f>
        <v>319</v>
      </c>
      <c r="B260">
        <v>94798619</v>
      </c>
      <c r="C260">
        <v>94799736</v>
      </c>
      <c r="D260">
        <v>37776797</v>
      </c>
      <c r="E260">
        <v>1</v>
      </c>
      <c r="F260">
        <v>1</v>
      </c>
      <c r="G260">
        <v>1</v>
      </c>
      <c r="H260">
        <v>3</v>
      </c>
      <c r="I260" t="s">
        <v>955</v>
      </c>
      <c r="J260" t="s">
        <v>956</v>
      </c>
      <c r="K260" t="s">
        <v>957</v>
      </c>
      <c r="L260">
        <v>1356</v>
      </c>
      <c r="N260">
        <v>1010</v>
      </c>
      <c r="O260" t="s">
        <v>754</v>
      </c>
      <c r="P260" t="s">
        <v>754</v>
      </c>
      <c r="Q260">
        <v>1000</v>
      </c>
      <c r="W260">
        <v>0</v>
      </c>
      <c r="X260">
        <v>955081035</v>
      </c>
      <c r="Y260">
        <f t="shared" si="97"/>
        <v>0.4</v>
      </c>
      <c r="AA260">
        <v>17210.89</v>
      </c>
      <c r="AB260">
        <v>0</v>
      </c>
      <c r="AC260">
        <v>0</v>
      </c>
      <c r="AD260">
        <v>0</v>
      </c>
      <c r="AE260">
        <v>941</v>
      </c>
      <c r="AF260">
        <v>0</v>
      </c>
      <c r="AG260">
        <v>0</v>
      </c>
      <c r="AH260">
        <v>0</v>
      </c>
      <c r="AI260">
        <v>18.29</v>
      </c>
      <c r="AJ260">
        <v>1</v>
      </c>
      <c r="AK260">
        <v>1</v>
      </c>
      <c r="AL260">
        <v>1</v>
      </c>
      <c r="AM260">
        <v>2</v>
      </c>
      <c r="AN260">
        <v>0</v>
      </c>
      <c r="AO260">
        <v>1</v>
      </c>
      <c r="AP260">
        <v>1</v>
      </c>
      <c r="AQ260">
        <v>0</v>
      </c>
      <c r="AR260">
        <v>0</v>
      </c>
      <c r="AS260" t="s">
        <v>3</v>
      </c>
      <c r="AT260">
        <v>0.4</v>
      </c>
      <c r="AU260" t="s">
        <v>3</v>
      </c>
      <c r="AV260">
        <v>0</v>
      </c>
      <c r="AW260">
        <v>2</v>
      </c>
      <c r="AX260">
        <v>94799749</v>
      </c>
      <c r="AY260">
        <v>1</v>
      </c>
      <c r="AZ260">
        <v>0</v>
      </c>
      <c r="BA260">
        <v>260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V260">
        <v>0</v>
      </c>
      <c r="CW260">
        <v>0</v>
      </c>
      <c r="CX260">
        <f>ROUND(Y260*Source!I319,9)</f>
        <v>0.12089999999999999</v>
      </c>
      <c r="CY260">
        <f>AA260</f>
        <v>17210.89</v>
      </c>
      <c r="CZ260">
        <f>AE260</f>
        <v>941</v>
      </c>
      <c r="DA260">
        <f>AI260</f>
        <v>18.29</v>
      </c>
      <c r="DB260">
        <f t="shared" si="98"/>
        <v>376.4</v>
      </c>
      <c r="DC260">
        <f t="shared" si="99"/>
        <v>0</v>
      </c>
      <c r="DD260" t="s">
        <v>3</v>
      </c>
      <c r="DE260" t="s">
        <v>3</v>
      </c>
      <c r="DF260">
        <f>ROUND(ROUND(AE260*AI260,2)*CX260,2)</f>
        <v>2080.8000000000002</v>
      </c>
      <c r="DG260">
        <f t="shared" si="116"/>
        <v>0</v>
      </c>
      <c r="DH260">
        <f t="shared" si="117"/>
        <v>0</v>
      </c>
      <c r="DI260">
        <f t="shared" si="115"/>
        <v>0</v>
      </c>
      <c r="DJ260">
        <f>DF260</f>
        <v>2080.8000000000002</v>
      </c>
      <c r="DK260">
        <v>0</v>
      </c>
      <c r="DL260" t="s">
        <v>3</v>
      </c>
      <c r="DM260">
        <v>0</v>
      </c>
      <c r="DN260" t="s">
        <v>3</v>
      </c>
      <c r="DO260">
        <v>0</v>
      </c>
    </row>
    <row r="261" spans="1:119" x14ac:dyDescent="0.2">
      <c r="A261">
        <f>ROW(Source!A319)</f>
        <v>319</v>
      </c>
      <c r="B261">
        <v>94798619</v>
      </c>
      <c r="C261">
        <v>94799736</v>
      </c>
      <c r="D261">
        <v>37777802</v>
      </c>
      <c r="E261">
        <v>1</v>
      </c>
      <c r="F261">
        <v>1</v>
      </c>
      <c r="G261">
        <v>1</v>
      </c>
      <c r="H261">
        <v>3</v>
      </c>
      <c r="I261" t="s">
        <v>883</v>
      </c>
      <c r="J261" t="s">
        <v>884</v>
      </c>
      <c r="K261" t="s">
        <v>885</v>
      </c>
      <c r="L261">
        <v>1339</v>
      </c>
      <c r="N261">
        <v>1007</v>
      </c>
      <c r="O261" t="s">
        <v>52</v>
      </c>
      <c r="P261" t="s">
        <v>52</v>
      </c>
      <c r="Q261">
        <v>1</v>
      </c>
      <c r="W261">
        <v>0</v>
      </c>
      <c r="X261">
        <v>-1418712732</v>
      </c>
      <c r="Y261">
        <f t="shared" si="97"/>
        <v>0.35</v>
      </c>
      <c r="AA261">
        <v>19.59</v>
      </c>
      <c r="AB261">
        <v>0</v>
      </c>
      <c r="AC261">
        <v>0</v>
      </c>
      <c r="AD261">
        <v>0</v>
      </c>
      <c r="AE261">
        <v>2.4700000000000002</v>
      </c>
      <c r="AF261">
        <v>0</v>
      </c>
      <c r="AG261">
        <v>0</v>
      </c>
      <c r="AH261">
        <v>0</v>
      </c>
      <c r="AI261">
        <v>7.93</v>
      </c>
      <c r="AJ261">
        <v>1</v>
      </c>
      <c r="AK261">
        <v>1</v>
      </c>
      <c r="AL261">
        <v>1</v>
      </c>
      <c r="AM261">
        <v>2</v>
      </c>
      <c r="AN261">
        <v>0</v>
      </c>
      <c r="AO261">
        <v>1</v>
      </c>
      <c r="AP261">
        <v>1</v>
      </c>
      <c r="AQ261">
        <v>0</v>
      </c>
      <c r="AR261">
        <v>0</v>
      </c>
      <c r="AS261" t="s">
        <v>3</v>
      </c>
      <c r="AT261">
        <v>0.35</v>
      </c>
      <c r="AU261" t="s">
        <v>3</v>
      </c>
      <c r="AV261">
        <v>0</v>
      </c>
      <c r="AW261">
        <v>2</v>
      </c>
      <c r="AX261">
        <v>94799750</v>
      </c>
      <c r="AY261">
        <v>1</v>
      </c>
      <c r="AZ261">
        <v>0</v>
      </c>
      <c r="BA261">
        <v>261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V261">
        <v>0</v>
      </c>
      <c r="CW261">
        <v>0</v>
      </c>
      <c r="CX261">
        <f>ROUND(Y261*Source!I319,9)</f>
        <v>0.10578750000000001</v>
      </c>
      <c r="CY261">
        <f>AA261</f>
        <v>19.59</v>
      </c>
      <c r="CZ261">
        <f>AE261</f>
        <v>2.4700000000000002</v>
      </c>
      <c r="DA261">
        <f>AI261</f>
        <v>7.93</v>
      </c>
      <c r="DB261">
        <f t="shared" si="98"/>
        <v>0.86</v>
      </c>
      <c r="DC261">
        <f t="shared" si="99"/>
        <v>0</v>
      </c>
      <c r="DD261" t="s">
        <v>3</v>
      </c>
      <c r="DE261" t="s">
        <v>3</v>
      </c>
      <c r="DF261">
        <f>ROUND(ROUND(AE261*AI261,2)*CX261,2)</f>
        <v>2.0699999999999998</v>
      </c>
      <c r="DG261">
        <f t="shared" si="116"/>
        <v>0</v>
      </c>
      <c r="DH261">
        <f t="shared" si="117"/>
        <v>0</v>
      </c>
      <c r="DI261">
        <f t="shared" si="115"/>
        <v>0</v>
      </c>
      <c r="DJ261">
        <f>DF261</f>
        <v>2.0699999999999998</v>
      </c>
      <c r="DK261">
        <v>0</v>
      </c>
      <c r="DL261" t="s">
        <v>3</v>
      </c>
      <c r="DM261">
        <v>0</v>
      </c>
      <c r="DN261" t="s">
        <v>3</v>
      </c>
      <c r="DO261">
        <v>0</v>
      </c>
    </row>
    <row r="262" spans="1:119" x14ac:dyDescent="0.2">
      <c r="A262">
        <f>ROW(Source!A320)</f>
        <v>320</v>
      </c>
      <c r="B262">
        <v>94798619</v>
      </c>
      <c r="C262">
        <v>94799751</v>
      </c>
      <c r="D262">
        <v>23129487</v>
      </c>
      <c r="E262">
        <v>1</v>
      </c>
      <c r="F262">
        <v>1</v>
      </c>
      <c r="G262">
        <v>1</v>
      </c>
      <c r="H262">
        <v>1</v>
      </c>
      <c r="I262" t="s">
        <v>915</v>
      </c>
      <c r="J262" t="s">
        <v>3</v>
      </c>
      <c r="K262" t="s">
        <v>916</v>
      </c>
      <c r="L262">
        <v>1369</v>
      </c>
      <c r="N262">
        <v>1013</v>
      </c>
      <c r="O262" t="s">
        <v>696</v>
      </c>
      <c r="P262" t="s">
        <v>696</v>
      </c>
      <c r="Q262">
        <v>1</v>
      </c>
      <c r="W262">
        <v>0</v>
      </c>
      <c r="X262">
        <v>2002501603</v>
      </c>
      <c r="Y262">
        <f t="shared" si="97"/>
        <v>80.040000000000006</v>
      </c>
      <c r="AA262">
        <v>0</v>
      </c>
      <c r="AB262">
        <v>0</v>
      </c>
      <c r="AC262">
        <v>0</v>
      </c>
      <c r="AD262">
        <v>8.48</v>
      </c>
      <c r="AE262">
        <v>0</v>
      </c>
      <c r="AF262">
        <v>0</v>
      </c>
      <c r="AG262">
        <v>0</v>
      </c>
      <c r="AH262">
        <v>8.48</v>
      </c>
      <c r="AI262">
        <v>1</v>
      </c>
      <c r="AJ262">
        <v>1</v>
      </c>
      <c r="AK262">
        <v>1</v>
      </c>
      <c r="AL262">
        <v>1</v>
      </c>
      <c r="AM262">
        <v>-2</v>
      </c>
      <c r="AN262">
        <v>0</v>
      </c>
      <c r="AO262">
        <v>1</v>
      </c>
      <c r="AP262">
        <v>1</v>
      </c>
      <c r="AQ262">
        <v>0</v>
      </c>
      <c r="AR262">
        <v>0</v>
      </c>
      <c r="AS262" t="s">
        <v>3</v>
      </c>
      <c r="AT262">
        <v>80.040000000000006</v>
      </c>
      <c r="AU262" t="s">
        <v>3</v>
      </c>
      <c r="AV262">
        <v>1</v>
      </c>
      <c r="AW262">
        <v>2</v>
      </c>
      <c r="AX262">
        <v>94799758</v>
      </c>
      <c r="AY262">
        <v>1</v>
      </c>
      <c r="AZ262">
        <v>0</v>
      </c>
      <c r="BA262">
        <v>262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U262">
        <f>ROUND(AT262*Source!I320*AH262*AL262,2)</f>
        <v>26.61</v>
      </c>
      <c r="CV262">
        <f>ROUND(Y262*Source!I320,9)</f>
        <v>3.1375679999999999</v>
      </c>
      <c r="CW262">
        <v>0</v>
      </c>
      <c r="CX262">
        <f>ROUND(Y262*Source!I320,9)</f>
        <v>3.1375679999999999</v>
      </c>
      <c r="CY262">
        <f>AD262</f>
        <v>8.48</v>
      </c>
      <c r="CZ262">
        <f>AH262</f>
        <v>8.48</v>
      </c>
      <c r="DA262">
        <f>AL262</f>
        <v>1</v>
      </c>
      <c r="DB262">
        <f t="shared" si="98"/>
        <v>678.74</v>
      </c>
      <c r="DC262">
        <f t="shared" si="99"/>
        <v>0</v>
      </c>
      <c r="DD262" t="s">
        <v>3</v>
      </c>
      <c r="DE262" t="s">
        <v>3</v>
      </c>
      <c r="DF262">
        <f>ROUND(ROUND(AE262,2)*CX262,2)</f>
        <v>0</v>
      </c>
      <c r="DG262">
        <f t="shared" si="116"/>
        <v>0</v>
      </c>
      <c r="DH262">
        <f t="shared" si="117"/>
        <v>0</v>
      </c>
      <c r="DI262">
        <f t="shared" si="115"/>
        <v>26.61</v>
      </c>
      <c r="DJ262">
        <f>DI262</f>
        <v>26.61</v>
      </c>
      <c r="DK262">
        <v>0</v>
      </c>
      <c r="DL262" t="s">
        <v>3</v>
      </c>
      <c r="DM262">
        <v>0</v>
      </c>
      <c r="DN262" t="s">
        <v>3</v>
      </c>
      <c r="DO262">
        <v>0</v>
      </c>
    </row>
    <row r="263" spans="1:119" x14ac:dyDescent="0.2">
      <c r="A263">
        <f>ROW(Source!A320)</f>
        <v>320</v>
      </c>
      <c r="B263">
        <v>94798619</v>
      </c>
      <c r="C263">
        <v>94799751</v>
      </c>
      <c r="D263">
        <v>121548</v>
      </c>
      <c r="E263">
        <v>1</v>
      </c>
      <c r="F263">
        <v>1</v>
      </c>
      <c r="G263">
        <v>1</v>
      </c>
      <c r="H263">
        <v>1</v>
      </c>
      <c r="I263" t="s">
        <v>28</v>
      </c>
      <c r="J263" t="s">
        <v>3</v>
      </c>
      <c r="K263" t="s">
        <v>705</v>
      </c>
      <c r="L263">
        <v>608254</v>
      </c>
      <c r="N263">
        <v>1013</v>
      </c>
      <c r="O263" t="s">
        <v>706</v>
      </c>
      <c r="P263" t="s">
        <v>706</v>
      </c>
      <c r="Q263">
        <v>1</v>
      </c>
      <c r="W263">
        <v>0</v>
      </c>
      <c r="X263">
        <v>-185737400</v>
      </c>
      <c r="Y263">
        <f t="shared" si="97"/>
        <v>2.09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1</v>
      </c>
      <c r="AJ263">
        <v>1</v>
      </c>
      <c r="AK263">
        <v>1</v>
      </c>
      <c r="AL263">
        <v>1</v>
      </c>
      <c r="AM263">
        <v>-2</v>
      </c>
      <c r="AN263">
        <v>0</v>
      </c>
      <c r="AO263">
        <v>1</v>
      </c>
      <c r="AP263">
        <v>1</v>
      </c>
      <c r="AQ263">
        <v>0</v>
      </c>
      <c r="AR263">
        <v>0</v>
      </c>
      <c r="AS263" t="s">
        <v>3</v>
      </c>
      <c r="AT263">
        <v>2.09</v>
      </c>
      <c r="AU263" t="s">
        <v>3</v>
      </c>
      <c r="AV263">
        <v>2</v>
      </c>
      <c r="AW263">
        <v>2</v>
      </c>
      <c r="AX263">
        <v>94799759</v>
      </c>
      <c r="AY263">
        <v>1</v>
      </c>
      <c r="AZ263">
        <v>0</v>
      </c>
      <c r="BA263">
        <v>263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V263">
        <v>0</v>
      </c>
      <c r="CW263">
        <v>0</v>
      </c>
      <c r="CX263">
        <f>ROUND(Y263*Source!I320,9)</f>
        <v>8.1928000000000001E-2</v>
      </c>
      <c r="CY263">
        <f>AD263</f>
        <v>0</v>
      </c>
      <c r="CZ263">
        <f>AH263</f>
        <v>0</v>
      </c>
      <c r="DA263">
        <f>AL263</f>
        <v>1</v>
      </c>
      <c r="DB263">
        <f t="shared" si="98"/>
        <v>0</v>
      </c>
      <c r="DC263">
        <f t="shared" si="99"/>
        <v>0</v>
      </c>
      <c r="DD263" t="s">
        <v>3</v>
      </c>
      <c r="DE263" t="s">
        <v>3</v>
      </c>
      <c r="DF263">
        <f>ROUND(ROUND(AE263,2)*CX263,2)</f>
        <v>0</v>
      </c>
      <c r="DG263">
        <f t="shared" si="116"/>
        <v>0</v>
      </c>
      <c r="DH263">
        <f t="shared" si="117"/>
        <v>0</v>
      </c>
      <c r="DI263">
        <f t="shared" si="115"/>
        <v>0</v>
      </c>
      <c r="DJ263">
        <f>DI263</f>
        <v>0</v>
      </c>
      <c r="DK263">
        <v>0</v>
      </c>
      <c r="DL263" t="s">
        <v>3</v>
      </c>
      <c r="DM263">
        <v>0</v>
      </c>
      <c r="DN263" t="s">
        <v>3</v>
      </c>
      <c r="DO263">
        <v>0</v>
      </c>
    </row>
    <row r="264" spans="1:119" x14ac:dyDescent="0.2">
      <c r="A264">
        <f>ROW(Source!A320)</f>
        <v>320</v>
      </c>
      <c r="B264">
        <v>94798619</v>
      </c>
      <c r="C264">
        <v>94799751</v>
      </c>
      <c r="D264">
        <v>37802699</v>
      </c>
      <c r="E264">
        <v>1</v>
      </c>
      <c r="F264">
        <v>1</v>
      </c>
      <c r="G264">
        <v>1</v>
      </c>
      <c r="H264">
        <v>2</v>
      </c>
      <c r="I264" t="s">
        <v>757</v>
      </c>
      <c r="J264" t="s">
        <v>758</v>
      </c>
      <c r="K264" t="s">
        <v>759</v>
      </c>
      <c r="L264">
        <v>1368</v>
      </c>
      <c r="N264">
        <v>1011</v>
      </c>
      <c r="O264" t="s">
        <v>700</v>
      </c>
      <c r="P264" t="s">
        <v>700</v>
      </c>
      <c r="Q264">
        <v>1</v>
      </c>
      <c r="W264">
        <v>0</v>
      </c>
      <c r="X264">
        <v>2133576372</v>
      </c>
      <c r="Y264">
        <f t="shared" si="97"/>
        <v>2.09</v>
      </c>
      <c r="AA264">
        <v>0</v>
      </c>
      <c r="AB264">
        <v>893.67</v>
      </c>
      <c r="AC264">
        <v>317.43</v>
      </c>
      <c r="AD264">
        <v>0</v>
      </c>
      <c r="AE264">
        <v>0</v>
      </c>
      <c r="AF264">
        <v>59.38</v>
      </c>
      <c r="AG264">
        <v>9</v>
      </c>
      <c r="AH264">
        <v>0</v>
      </c>
      <c r="AI264">
        <v>1</v>
      </c>
      <c r="AJ264">
        <v>15.05</v>
      </c>
      <c r="AK264">
        <v>35.270000000000003</v>
      </c>
      <c r="AL264">
        <v>1</v>
      </c>
      <c r="AM264">
        <v>2</v>
      </c>
      <c r="AN264">
        <v>0</v>
      </c>
      <c r="AO264">
        <v>1</v>
      </c>
      <c r="AP264">
        <v>1</v>
      </c>
      <c r="AQ264">
        <v>0</v>
      </c>
      <c r="AR264">
        <v>0</v>
      </c>
      <c r="AS264" t="s">
        <v>3</v>
      </c>
      <c r="AT264">
        <v>2.09</v>
      </c>
      <c r="AU264" t="s">
        <v>3</v>
      </c>
      <c r="AV264">
        <v>0</v>
      </c>
      <c r="AW264">
        <v>2</v>
      </c>
      <c r="AX264">
        <v>94799760</v>
      </c>
      <c r="AY264">
        <v>1</v>
      </c>
      <c r="AZ264">
        <v>0</v>
      </c>
      <c r="BA264">
        <v>264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V264">
        <v>0</v>
      </c>
      <c r="CW264">
        <f>ROUND(Y264*Source!I320*DO264,9)</f>
        <v>0</v>
      </c>
      <c r="CX264">
        <f>ROUND(Y264*Source!I320,9)</f>
        <v>8.1928000000000001E-2</v>
      </c>
      <c r="CY264">
        <f>AB264</f>
        <v>893.67</v>
      </c>
      <c r="CZ264">
        <f>AF264</f>
        <v>59.38</v>
      </c>
      <c r="DA264">
        <f>AJ264</f>
        <v>15.05</v>
      </c>
      <c r="DB264">
        <f t="shared" si="98"/>
        <v>124.1</v>
      </c>
      <c r="DC264">
        <f t="shared" si="99"/>
        <v>18.809999999999999</v>
      </c>
      <c r="DD264" t="s">
        <v>3</v>
      </c>
      <c r="DE264" t="s">
        <v>3</v>
      </c>
      <c r="DF264">
        <f>ROUND(ROUND(AE264,2)*CX264,2)</f>
        <v>0</v>
      </c>
      <c r="DG264">
        <f>ROUND(ROUND(AF264*AJ264,2)*CX264,2)</f>
        <v>73.22</v>
      </c>
      <c r="DH264">
        <f>ROUND(ROUND(AG264*AK264,2)*CX264,2)</f>
        <v>26.01</v>
      </c>
      <c r="DI264">
        <f t="shared" si="115"/>
        <v>0</v>
      </c>
      <c r="DJ264">
        <f>DG264</f>
        <v>73.22</v>
      </c>
      <c r="DK264">
        <v>0</v>
      </c>
      <c r="DL264" t="s">
        <v>3</v>
      </c>
      <c r="DM264">
        <v>0</v>
      </c>
      <c r="DN264" t="s">
        <v>3</v>
      </c>
      <c r="DO264">
        <v>0</v>
      </c>
    </row>
    <row r="265" spans="1:119" x14ac:dyDescent="0.2">
      <c r="A265">
        <f>ROW(Source!A320)</f>
        <v>320</v>
      </c>
      <c r="B265">
        <v>94798619</v>
      </c>
      <c r="C265">
        <v>94799751</v>
      </c>
      <c r="D265">
        <v>37804221</v>
      </c>
      <c r="E265">
        <v>1</v>
      </c>
      <c r="F265">
        <v>1</v>
      </c>
      <c r="G265">
        <v>1</v>
      </c>
      <c r="H265">
        <v>2</v>
      </c>
      <c r="I265" t="s">
        <v>958</v>
      </c>
      <c r="J265" t="s">
        <v>959</v>
      </c>
      <c r="K265" t="s">
        <v>960</v>
      </c>
      <c r="L265">
        <v>1368</v>
      </c>
      <c r="N265">
        <v>1011</v>
      </c>
      <c r="O265" t="s">
        <v>700</v>
      </c>
      <c r="P265" t="s">
        <v>700</v>
      </c>
      <c r="Q265">
        <v>1</v>
      </c>
      <c r="W265">
        <v>0</v>
      </c>
      <c r="X265">
        <v>-516421901</v>
      </c>
      <c r="Y265">
        <f t="shared" si="97"/>
        <v>32</v>
      </c>
      <c r="AA265">
        <v>0</v>
      </c>
      <c r="AB265">
        <v>18.809999999999999</v>
      </c>
      <c r="AC265">
        <v>0</v>
      </c>
      <c r="AD265">
        <v>0</v>
      </c>
      <c r="AE265">
        <v>0</v>
      </c>
      <c r="AF265">
        <v>1.66</v>
      </c>
      <c r="AG265">
        <v>0</v>
      </c>
      <c r="AH265">
        <v>0</v>
      </c>
      <c r="AI265">
        <v>1</v>
      </c>
      <c r="AJ265">
        <v>11.33</v>
      </c>
      <c r="AK265">
        <v>35.270000000000003</v>
      </c>
      <c r="AL265">
        <v>1</v>
      </c>
      <c r="AM265">
        <v>2</v>
      </c>
      <c r="AN265">
        <v>0</v>
      </c>
      <c r="AO265">
        <v>1</v>
      </c>
      <c r="AP265">
        <v>1</v>
      </c>
      <c r="AQ265">
        <v>0</v>
      </c>
      <c r="AR265">
        <v>0</v>
      </c>
      <c r="AS265" t="s">
        <v>3</v>
      </c>
      <c r="AT265">
        <v>32</v>
      </c>
      <c r="AU265" t="s">
        <v>3</v>
      </c>
      <c r="AV265">
        <v>0</v>
      </c>
      <c r="AW265">
        <v>2</v>
      </c>
      <c r="AX265">
        <v>94799761</v>
      </c>
      <c r="AY265">
        <v>1</v>
      </c>
      <c r="AZ265">
        <v>0</v>
      </c>
      <c r="BA265">
        <v>265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V265">
        <v>0</v>
      </c>
      <c r="CW265">
        <f>ROUND(Y265*Source!I320*DO265,9)</f>
        <v>0</v>
      </c>
      <c r="CX265">
        <f>ROUND(Y265*Source!I320,9)</f>
        <v>1.2544</v>
      </c>
      <c r="CY265">
        <f>AB265</f>
        <v>18.809999999999999</v>
      </c>
      <c r="CZ265">
        <f>AF265</f>
        <v>1.66</v>
      </c>
      <c r="DA265">
        <f>AJ265</f>
        <v>11.33</v>
      </c>
      <c r="DB265">
        <f t="shared" si="98"/>
        <v>53.12</v>
      </c>
      <c r="DC265">
        <f t="shared" si="99"/>
        <v>0</v>
      </c>
      <c r="DD265" t="s">
        <v>3</v>
      </c>
      <c r="DE265" t="s">
        <v>3</v>
      </c>
      <c r="DF265">
        <f>ROUND(ROUND(AE265,2)*CX265,2)</f>
        <v>0</v>
      </c>
      <c r="DG265">
        <f>ROUND(ROUND(AF265*AJ265,2)*CX265,2)</f>
        <v>23.6</v>
      </c>
      <c r="DH265">
        <f>ROUND(ROUND(AG265*AK265,2)*CX265,2)</f>
        <v>0</v>
      </c>
      <c r="DI265">
        <f t="shared" si="115"/>
        <v>0</v>
      </c>
      <c r="DJ265">
        <f>DG265</f>
        <v>23.6</v>
      </c>
      <c r="DK265">
        <v>0</v>
      </c>
      <c r="DL265" t="s">
        <v>3</v>
      </c>
      <c r="DM265">
        <v>0</v>
      </c>
      <c r="DN265" t="s">
        <v>3</v>
      </c>
      <c r="DO265">
        <v>0</v>
      </c>
    </row>
    <row r="266" spans="1:119" x14ac:dyDescent="0.2">
      <c r="A266">
        <f>ROW(Source!A320)</f>
        <v>320</v>
      </c>
      <c r="B266">
        <v>94798619</v>
      </c>
      <c r="C266">
        <v>94799751</v>
      </c>
      <c r="D266">
        <v>37729685</v>
      </c>
      <c r="E266">
        <v>1</v>
      </c>
      <c r="F266">
        <v>1</v>
      </c>
      <c r="G266">
        <v>1</v>
      </c>
      <c r="H266">
        <v>3</v>
      </c>
      <c r="I266" t="s">
        <v>961</v>
      </c>
      <c r="J266" t="s">
        <v>962</v>
      </c>
      <c r="K266" t="s">
        <v>963</v>
      </c>
      <c r="L266">
        <v>1346</v>
      </c>
      <c r="N266">
        <v>1009</v>
      </c>
      <c r="O266" t="s">
        <v>192</v>
      </c>
      <c r="P266" t="s">
        <v>192</v>
      </c>
      <c r="Q266">
        <v>1</v>
      </c>
      <c r="W266">
        <v>0</v>
      </c>
      <c r="X266">
        <v>2146776960</v>
      </c>
      <c r="Y266">
        <f t="shared" si="97"/>
        <v>2</v>
      </c>
      <c r="AA266">
        <v>170.56</v>
      </c>
      <c r="AB266">
        <v>0</v>
      </c>
      <c r="AC266">
        <v>0</v>
      </c>
      <c r="AD266">
        <v>0</v>
      </c>
      <c r="AE266">
        <v>5.71</v>
      </c>
      <c r="AF266">
        <v>0</v>
      </c>
      <c r="AG266">
        <v>0</v>
      </c>
      <c r="AH266">
        <v>0</v>
      </c>
      <c r="AI266">
        <v>29.87</v>
      </c>
      <c r="AJ266">
        <v>1</v>
      </c>
      <c r="AK266">
        <v>1</v>
      </c>
      <c r="AL266">
        <v>1</v>
      </c>
      <c r="AM266">
        <v>2</v>
      </c>
      <c r="AN266">
        <v>0</v>
      </c>
      <c r="AO266">
        <v>1</v>
      </c>
      <c r="AP266">
        <v>1</v>
      </c>
      <c r="AQ266">
        <v>0</v>
      </c>
      <c r="AR266">
        <v>0</v>
      </c>
      <c r="AS266" t="s">
        <v>3</v>
      </c>
      <c r="AT266">
        <v>2</v>
      </c>
      <c r="AU266" t="s">
        <v>3</v>
      </c>
      <c r="AV266">
        <v>0</v>
      </c>
      <c r="AW266">
        <v>2</v>
      </c>
      <c r="AX266">
        <v>94799762</v>
      </c>
      <c r="AY266">
        <v>1</v>
      </c>
      <c r="AZ266">
        <v>0</v>
      </c>
      <c r="BA266">
        <v>266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V266">
        <v>0</v>
      </c>
      <c r="CW266">
        <v>0</v>
      </c>
      <c r="CX266">
        <f>ROUND(Y266*Source!I320,9)</f>
        <v>7.8399999999999997E-2</v>
      </c>
      <c r="CY266">
        <f>AA266</f>
        <v>170.56</v>
      </c>
      <c r="CZ266">
        <f>AE266</f>
        <v>5.71</v>
      </c>
      <c r="DA266">
        <f>AI266</f>
        <v>29.87</v>
      </c>
      <c r="DB266">
        <f t="shared" si="98"/>
        <v>11.42</v>
      </c>
      <c r="DC266">
        <f t="shared" si="99"/>
        <v>0</v>
      </c>
      <c r="DD266" t="s">
        <v>3</v>
      </c>
      <c r="DE266" t="s">
        <v>3</v>
      </c>
      <c r="DF266">
        <f>ROUND(ROUND(AE266*AI266,2)*CX266,2)</f>
        <v>13.37</v>
      </c>
      <c r="DG266">
        <f>ROUND(ROUND(AF266,2)*CX266,2)</f>
        <v>0</v>
      </c>
      <c r="DH266">
        <f>ROUND(ROUND(AG266,2)*CX266,2)</f>
        <v>0</v>
      </c>
      <c r="DI266">
        <f t="shared" si="115"/>
        <v>0</v>
      </c>
      <c r="DJ266">
        <f>DF266</f>
        <v>13.37</v>
      </c>
      <c r="DK266">
        <v>0</v>
      </c>
      <c r="DL266" t="s">
        <v>3</v>
      </c>
      <c r="DM266">
        <v>0</v>
      </c>
      <c r="DN266" t="s">
        <v>3</v>
      </c>
      <c r="DO266">
        <v>0</v>
      </c>
    </row>
    <row r="267" spans="1:119" x14ac:dyDescent="0.2">
      <c r="A267">
        <f>ROW(Source!A320)</f>
        <v>320</v>
      </c>
      <c r="B267">
        <v>94798619</v>
      </c>
      <c r="C267">
        <v>94799751</v>
      </c>
      <c r="D267">
        <v>37777802</v>
      </c>
      <c r="E267">
        <v>1</v>
      </c>
      <c r="F267">
        <v>1</v>
      </c>
      <c r="G267">
        <v>1</v>
      </c>
      <c r="H267">
        <v>3</v>
      </c>
      <c r="I267" t="s">
        <v>883</v>
      </c>
      <c r="J267" t="s">
        <v>884</v>
      </c>
      <c r="K267" t="s">
        <v>885</v>
      </c>
      <c r="L267">
        <v>1339</v>
      </c>
      <c r="N267">
        <v>1007</v>
      </c>
      <c r="O267" t="s">
        <v>52</v>
      </c>
      <c r="P267" t="s">
        <v>52</v>
      </c>
      <c r="Q267">
        <v>1</v>
      </c>
      <c r="W267">
        <v>0</v>
      </c>
      <c r="X267">
        <v>-1418712732</v>
      </c>
      <c r="Y267">
        <f t="shared" si="97"/>
        <v>2</v>
      </c>
      <c r="AA267">
        <v>19.59</v>
      </c>
      <c r="AB267">
        <v>0</v>
      </c>
      <c r="AC267">
        <v>0</v>
      </c>
      <c r="AD267">
        <v>0</v>
      </c>
      <c r="AE267">
        <v>2.4700000000000002</v>
      </c>
      <c r="AF267">
        <v>0</v>
      </c>
      <c r="AG267">
        <v>0</v>
      </c>
      <c r="AH267">
        <v>0</v>
      </c>
      <c r="AI267">
        <v>7.93</v>
      </c>
      <c r="AJ267">
        <v>1</v>
      </c>
      <c r="AK267">
        <v>1</v>
      </c>
      <c r="AL267">
        <v>1</v>
      </c>
      <c r="AM267">
        <v>2</v>
      </c>
      <c r="AN267">
        <v>0</v>
      </c>
      <c r="AO267">
        <v>1</v>
      </c>
      <c r="AP267">
        <v>1</v>
      </c>
      <c r="AQ267">
        <v>0</v>
      </c>
      <c r="AR267">
        <v>0</v>
      </c>
      <c r="AS267" t="s">
        <v>3</v>
      </c>
      <c r="AT267">
        <v>2</v>
      </c>
      <c r="AU267" t="s">
        <v>3</v>
      </c>
      <c r="AV267">
        <v>0</v>
      </c>
      <c r="AW267">
        <v>2</v>
      </c>
      <c r="AX267">
        <v>94799763</v>
      </c>
      <c r="AY267">
        <v>1</v>
      </c>
      <c r="AZ267">
        <v>0</v>
      </c>
      <c r="BA267">
        <v>267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V267">
        <v>0</v>
      </c>
      <c r="CW267">
        <v>0</v>
      </c>
      <c r="CX267">
        <f>ROUND(Y267*Source!I320,9)</f>
        <v>7.8399999999999997E-2</v>
      </c>
      <c r="CY267">
        <f>AA267</f>
        <v>19.59</v>
      </c>
      <c r="CZ267">
        <f>AE267</f>
        <v>2.4700000000000002</v>
      </c>
      <c r="DA267">
        <f>AI267</f>
        <v>7.93</v>
      </c>
      <c r="DB267">
        <f t="shared" si="98"/>
        <v>4.9400000000000004</v>
      </c>
      <c r="DC267">
        <f t="shared" si="99"/>
        <v>0</v>
      </c>
      <c r="DD267" t="s">
        <v>3</v>
      </c>
      <c r="DE267" t="s">
        <v>3</v>
      </c>
      <c r="DF267">
        <f>ROUND(ROUND(AE267*AI267,2)*CX267,2)</f>
        <v>1.54</v>
      </c>
      <c r="DG267">
        <f>ROUND(ROUND(AF267,2)*CX267,2)</f>
        <v>0</v>
      </c>
      <c r="DH267">
        <f>ROUND(ROUND(AG267,2)*CX267,2)</f>
        <v>0</v>
      </c>
      <c r="DI267">
        <f t="shared" si="115"/>
        <v>0</v>
      </c>
      <c r="DJ267">
        <f>DF267</f>
        <v>1.54</v>
      </c>
      <c r="DK267">
        <v>0</v>
      </c>
      <c r="DL267" t="s">
        <v>3</v>
      </c>
      <c r="DM267">
        <v>0</v>
      </c>
      <c r="DN267" t="s">
        <v>3</v>
      </c>
      <c r="DO267">
        <v>0</v>
      </c>
    </row>
    <row r="268" spans="1:119" x14ac:dyDescent="0.2">
      <c r="A268">
        <f>ROW(Source!A321)</f>
        <v>321</v>
      </c>
      <c r="B268">
        <v>94798619</v>
      </c>
      <c r="C268">
        <v>94799764</v>
      </c>
      <c r="D268">
        <v>23136905</v>
      </c>
      <c r="E268">
        <v>1</v>
      </c>
      <c r="F268">
        <v>1</v>
      </c>
      <c r="G268">
        <v>1</v>
      </c>
      <c r="H268">
        <v>1</v>
      </c>
      <c r="I268" t="s">
        <v>964</v>
      </c>
      <c r="J268" t="s">
        <v>3</v>
      </c>
      <c r="K268" t="s">
        <v>965</v>
      </c>
      <c r="L268">
        <v>1369</v>
      </c>
      <c r="N268">
        <v>1013</v>
      </c>
      <c r="O268" t="s">
        <v>696</v>
      </c>
      <c r="P268" t="s">
        <v>696</v>
      </c>
      <c r="Q268">
        <v>1</v>
      </c>
      <c r="W268">
        <v>0</v>
      </c>
      <c r="X268">
        <v>1351218007</v>
      </c>
      <c r="Y268">
        <f t="shared" si="97"/>
        <v>3.69</v>
      </c>
      <c r="AA268">
        <v>0</v>
      </c>
      <c r="AB268">
        <v>0</v>
      </c>
      <c r="AC268">
        <v>0</v>
      </c>
      <c r="AD268">
        <v>8.58</v>
      </c>
      <c r="AE268">
        <v>0</v>
      </c>
      <c r="AF268">
        <v>0</v>
      </c>
      <c r="AG268">
        <v>0</v>
      </c>
      <c r="AH268">
        <v>8.58</v>
      </c>
      <c r="AI268">
        <v>1</v>
      </c>
      <c r="AJ268">
        <v>1</v>
      </c>
      <c r="AK268">
        <v>1</v>
      </c>
      <c r="AL268">
        <v>1</v>
      </c>
      <c r="AM268">
        <v>-2</v>
      </c>
      <c r="AN268">
        <v>0</v>
      </c>
      <c r="AO268">
        <v>1</v>
      </c>
      <c r="AP268">
        <v>1</v>
      </c>
      <c r="AQ268">
        <v>0</v>
      </c>
      <c r="AR268">
        <v>0</v>
      </c>
      <c r="AS268" t="s">
        <v>3</v>
      </c>
      <c r="AT268">
        <v>3.69</v>
      </c>
      <c r="AU268" t="s">
        <v>3</v>
      </c>
      <c r="AV268">
        <v>1</v>
      </c>
      <c r="AW268">
        <v>2</v>
      </c>
      <c r="AX268">
        <v>94799773</v>
      </c>
      <c r="AY268">
        <v>1</v>
      </c>
      <c r="AZ268">
        <v>0</v>
      </c>
      <c r="BA268">
        <v>268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U268">
        <f>ROUND(AT268*Source!I321*AH268*AL268,2)</f>
        <v>1.24</v>
      </c>
      <c r="CV268">
        <f>ROUND(Y268*Source!I321,9)</f>
        <v>0.144648</v>
      </c>
      <c r="CW268">
        <v>0</v>
      </c>
      <c r="CX268">
        <f>ROUND(Y268*Source!I321,9)</f>
        <v>0.144648</v>
      </c>
      <c r="CY268">
        <f>AD268</f>
        <v>8.58</v>
      </c>
      <c r="CZ268">
        <f>AH268</f>
        <v>8.58</v>
      </c>
      <c r="DA268">
        <f>AL268</f>
        <v>1</v>
      </c>
      <c r="DB268">
        <f t="shared" si="98"/>
        <v>31.66</v>
      </c>
      <c r="DC268">
        <f t="shared" si="99"/>
        <v>0</v>
      </c>
      <c r="DD268" t="s">
        <v>3</v>
      </c>
      <c r="DE268" t="s">
        <v>3</v>
      </c>
      <c r="DF268">
        <f>ROUND(ROUND(AE268,2)*CX268,2)</f>
        <v>0</v>
      </c>
      <c r="DG268">
        <f>ROUND(ROUND(AF268,2)*CX268,2)</f>
        <v>0</v>
      </c>
      <c r="DH268">
        <f>ROUND(ROUND(AG268,2)*CX268,2)</f>
        <v>0</v>
      </c>
      <c r="DI268">
        <f t="shared" si="115"/>
        <v>1.24</v>
      </c>
      <c r="DJ268">
        <f>DI268</f>
        <v>1.24</v>
      </c>
      <c r="DK268">
        <v>0</v>
      </c>
      <c r="DL268" t="s">
        <v>3</v>
      </c>
      <c r="DM268">
        <v>0</v>
      </c>
      <c r="DN268" t="s">
        <v>3</v>
      </c>
      <c r="DO268">
        <v>0</v>
      </c>
    </row>
    <row r="269" spans="1:119" x14ac:dyDescent="0.2">
      <c r="A269">
        <f>ROW(Source!A321)</f>
        <v>321</v>
      </c>
      <c r="B269">
        <v>94798619</v>
      </c>
      <c r="C269">
        <v>94799764</v>
      </c>
      <c r="D269">
        <v>121548</v>
      </c>
      <c r="E269">
        <v>1</v>
      </c>
      <c r="F269">
        <v>1</v>
      </c>
      <c r="G269">
        <v>1</v>
      </c>
      <c r="H269">
        <v>1</v>
      </c>
      <c r="I269" t="s">
        <v>28</v>
      </c>
      <c r="J269" t="s">
        <v>3</v>
      </c>
      <c r="K269" t="s">
        <v>705</v>
      </c>
      <c r="L269">
        <v>608254</v>
      </c>
      <c r="N269">
        <v>1013</v>
      </c>
      <c r="O269" t="s">
        <v>706</v>
      </c>
      <c r="P269" t="s">
        <v>706</v>
      </c>
      <c r="Q269">
        <v>1</v>
      </c>
      <c r="W269">
        <v>0</v>
      </c>
      <c r="X269">
        <v>-185737400</v>
      </c>
      <c r="Y269">
        <f t="shared" si="97"/>
        <v>0.01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1</v>
      </c>
      <c r="AJ269">
        <v>1</v>
      </c>
      <c r="AK269">
        <v>1</v>
      </c>
      <c r="AL269">
        <v>1</v>
      </c>
      <c r="AM269">
        <v>-2</v>
      </c>
      <c r="AN269">
        <v>0</v>
      </c>
      <c r="AO269">
        <v>1</v>
      </c>
      <c r="AP269">
        <v>1</v>
      </c>
      <c r="AQ269">
        <v>0</v>
      </c>
      <c r="AR269">
        <v>0</v>
      </c>
      <c r="AS269" t="s">
        <v>3</v>
      </c>
      <c r="AT269">
        <v>0.01</v>
      </c>
      <c r="AU269" t="s">
        <v>3</v>
      </c>
      <c r="AV269">
        <v>2</v>
      </c>
      <c r="AW269">
        <v>2</v>
      </c>
      <c r="AX269">
        <v>94799774</v>
      </c>
      <c r="AY269">
        <v>1</v>
      </c>
      <c r="AZ269">
        <v>0</v>
      </c>
      <c r="BA269">
        <v>269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V269">
        <v>0</v>
      </c>
      <c r="CW269">
        <v>0</v>
      </c>
      <c r="CX269">
        <f>ROUND(Y269*Source!I321,9)</f>
        <v>3.9199999999999999E-4</v>
      </c>
      <c r="CY269">
        <f>AD269</f>
        <v>0</v>
      </c>
      <c r="CZ269">
        <f>AH269</f>
        <v>0</v>
      </c>
      <c r="DA269">
        <f>AL269</f>
        <v>1</v>
      </c>
      <c r="DB269">
        <f t="shared" si="98"/>
        <v>0</v>
      </c>
      <c r="DC269">
        <f t="shared" si="99"/>
        <v>0</v>
      </c>
      <c r="DD269" t="s">
        <v>3</v>
      </c>
      <c r="DE269" t="s">
        <v>3</v>
      </c>
      <c r="DF269">
        <f>ROUND(ROUND(AE269,2)*CX269,2)</f>
        <v>0</v>
      </c>
      <c r="DG269">
        <f>ROUND(ROUND(AF269,2)*CX269,2)</f>
        <v>0</v>
      </c>
      <c r="DH269">
        <f>ROUND(ROUND(AG269,2)*CX269,2)</f>
        <v>0</v>
      </c>
      <c r="DI269">
        <f t="shared" si="115"/>
        <v>0</v>
      </c>
      <c r="DJ269">
        <f>DI269</f>
        <v>0</v>
      </c>
      <c r="DK269">
        <v>0</v>
      </c>
      <c r="DL269" t="s">
        <v>3</v>
      </c>
      <c r="DM269">
        <v>0</v>
      </c>
      <c r="DN269" t="s">
        <v>3</v>
      </c>
      <c r="DO269">
        <v>0</v>
      </c>
    </row>
    <row r="270" spans="1:119" x14ac:dyDescent="0.2">
      <c r="A270">
        <f>ROW(Source!A321)</f>
        <v>321</v>
      </c>
      <c r="B270">
        <v>94798619</v>
      </c>
      <c r="C270">
        <v>94799764</v>
      </c>
      <c r="D270">
        <v>37802576</v>
      </c>
      <c r="E270">
        <v>1</v>
      </c>
      <c r="F270">
        <v>1</v>
      </c>
      <c r="G270">
        <v>1</v>
      </c>
      <c r="H270">
        <v>2</v>
      </c>
      <c r="I270" t="s">
        <v>966</v>
      </c>
      <c r="J270" t="s">
        <v>967</v>
      </c>
      <c r="K270" t="s">
        <v>968</v>
      </c>
      <c r="L270">
        <v>1368</v>
      </c>
      <c r="N270">
        <v>1011</v>
      </c>
      <c r="O270" t="s">
        <v>700</v>
      </c>
      <c r="P270" t="s">
        <v>700</v>
      </c>
      <c r="Q270">
        <v>1</v>
      </c>
      <c r="W270">
        <v>0</v>
      </c>
      <c r="X270">
        <v>1410020565</v>
      </c>
      <c r="Y270">
        <f t="shared" si="97"/>
        <v>0.01</v>
      </c>
      <c r="AA270">
        <v>0</v>
      </c>
      <c r="AB270">
        <v>427.68</v>
      </c>
      <c r="AC270">
        <v>365.04</v>
      </c>
      <c r="AD270">
        <v>0</v>
      </c>
      <c r="AE270">
        <v>0</v>
      </c>
      <c r="AF270">
        <v>28.1</v>
      </c>
      <c r="AG270">
        <v>10.35</v>
      </c>
      <c r="AH270">
        <v>0</v>
      </c>
      <c r="AI270">
        <v>1</v>
      </c>
      <c r="AJ270">
        <v>15.22</v>
      </c>
      <c r="AK270">
        <v>35.270000000000003</v>
      </c>
      <c r="AL270">
        <v>1</v>
      </c>
      <c r="AM270">
        <v>2</v>
      </c>
      <c r="AN270">
        <v>0</v>
      </c>
      <c r="AO270">
        <v>1</v>
      </c>
      <c r="AP270">
        <v>1</v>
      </c>
      <c r="AQ270">
        <v>0</v>
      </c>
      <c r="AR270">
        <v>0</v>
      </c>
      <c r="AS270" t="s">
        <v>3</v>
      </c>
      <c r="AT270">
        <v>0.01</v>
      </c>
      <c r="AU270" t="s">
        <v>3</v>
      </c>
      <c r="AV270">
        <v>0</v>
      </c>
      <c r="AW270">
        <v>2</v>
      </c>
      <c r="AX270">
        <v>94799775</v>
      </c>
      <c r="AY270">
        <v>1</v>
      </c>
      <c r="AZ270">
        <v>0</v>
      </c>
      <c r="BA270">
        <v>270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V270">
        <v>0</v>
      </c>
      <c r="CW270">
        <f>ROUND(Y270*Source!I321*DO270,9)</f>
        <v>0</v>
      </c>
      <c r="CX270">
        <f>ROUND(Y270*Source!I321,9)</f>
        <v>3.9199999999999999E-4</v>
      </c>
      <c r="CY270">
        <f>AB270</f>
        <v>427.68</v>
      </c>
      <c r="CZ270">
        <f>AF270</f>
        <v>28.1</v>
      </c>
      <c r="DA270">
        <f>AJ270</f>
        <v>15.22</v>
      </c>
      <c r="DB270">
        <f t="shared" si="98"/>
        <v>0.28000000000000003</v>
      </c>
      <c r="DC270">
        <f t="shared" si="99"/>
        <v>0.1</v>
      </c>
      <c r="DD270" t="s">
        <v>3</v>
      </c>
      <c r="DE270" t="s">
        <v>3</v>
      </c>
      <c r="DF270">
        <f>ROUND(ROUND(AE270,2)*CX270,2)</f>
        <v>0</v>
      </c>
      <c r="DG270">
        <f>ROUND(ROUND(AF270*AJ270,2)*CX270,2)</f>
        <v>0.17</v>
      </c>
      <c r="DH270">
        <f>ROUND(ROUND(AG270*AK270,2)*CX270,2)</f>
        <v>0.14000000000000001</v>
      </c>
      <c r="DI270">
        <f t="shared" si="115"/>
        <v>0</v>
      </c>
      <c r="DJ270">
        <f>DG270</f>
        <v>0.17</v>
      </c>
      <c r="DK270">
        <v>0</v>
      </c>
      <c r="DL270" t="s">
        <v>3</v>
      </c>
      <c r="DM270">
        <v>0</v>
      </c>
      <c r="DN270" t="s">
        <v>3</v>
      </c>
      <c r="DO270">
        <v>0</v>
      </c>
    </row>
    <row r="271" spans="1:119" x14ac:dyDescent="0.2">
      <c r="A271">
        <f>ROW(Source!A321)</f>
        <v>321</v>
      </c>
      <c r="B271">
        <v>94798619</v>
      </c>
      <c r="C271">
        <v>94799764</v>
      </c>
      <c r="D271">
        <v>37804211</v>
      </c>
      <c r="E271">
        <v>1</v>
      </c>
      <c r="F271">
        <v>1</v>
      </c>
      <c r="G271">
        <v>1</v>
      </c>
      <c r="H271">
        <v>2</v>
      </c>
      <c r="I271" t="s">
        <v>928</v>
      </c>
      <c r="J271" t="s">
        <v>929</v>
      </c>
      <c r="K271" t="s">
        <v>930</v>
      </c>
      <c r="L271">
        <v>1368</v>
      </c>
      <c r="N271">
        <v>1011</v>
      </c>
      <c r="O271" t="s">
        <v>700</v>
      </c>
      <c r="P271" t="s">
        <v>700</v>
      </c>
      <c r="Q271">
        <v>1</v>
      </c>
      <c r="W271">
        <v>0</v>
      </c>
      <c r="X271">
        <v>-244626325</v>
      </c>
      <c r="Y271">
        <f t="shared" si="97"/>
        <v>2.82</v>
      </c>
      <c r="AA271">
        <v>0</v>
      </c>
      <c r="AB271">
        <v>43.92</v>
      </c>
      <c r="AC271">
        <v>0</v>
      </c>
      <c r="AD271">
        <v>0</v>
      </c>
      <c r="AE271">
        <v>0</v>
      </c>
      <c r="AF271">
        <v>7.52</v>
      </c>
      <c r="AG271">
        <v>0</v>
      </c>
      <c r="AH271">
        <v>0</v>
      </c>
      <c r="AI271">
        <v>1</v>
      </c>
      <c r="AJ271">
        <v>5.84</v>
      </c>
      <c r="AK271">
        <v>35.270000000000003</v>
      </c>
      <c r="AL271">
        <v>1</v>
      </c>
      <c r="AM271">
        <v>2</v>
      </c>
      <c r="AN271">
        <v>0</v>
      </c>
      <c r="AO271">
        <v>1</v>
      </c>
      <c r="AP271">
        <v>1</v>
      </c>
      <c r="AQ271">
        <v>0</v>
      </c>
      <c r="AR271">
        <v>0</v>
      </c>
      <c r="AS271" t="s">
        <v>3</v>
      </c>
      <c r="AT271">
        <v>2.82</v>
      </c>
      <c r="AU271" t="s">
        <v>3</v>
      </c>
      <c r="AV271">
        <v>0</v>
      </c>
      <c r="AW271">
        <v>2</v>
      </c>
      <c r="AX271">
        <v>94799776</v>
      </c>
      <c r="AY271">
        <v>1</v>
      </c>
      <c r="AZ271">
        <v>0</v>
      </c>
      <c r="BA271">
        <v>271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V271">
        <v>0</v>
      </c>
      <c r="CW271">
        <f>ROUND(Y271*Source!I321*DO271,9)</f>
        <v>0</v>
      </c>
      <c r="CX271">
        <f>ROUND(Y271*Source!I321,9)</f>
        <v>0.110544</v>
      </c>
      <c r="CY271">
        <f>AB271</f>
        <v>43.92</v>
      </c>
      <c r="CZ271">
        <f>AF271</f>
        <v>7.52</v>
      </c>
      <c r="DA271">
        <f>AJ271</f>
        <v>5.84</v>
      </c>
      <c r="DB271">
        <f t="shared" si="98"/>
        <v>21.21</v>
      </c>
      <c r="DC271">
        <f t="shared" si="99"/>
        <v>0</v>
      </c>
      <c r="DD271" t="s">
        <v>3</v>
      </c>
      <c r="DE271" t="s">
        <v>3</v>
      </c>
      <c r="DF271">
        <f>ROUND(ROUND(AE271,2)*CX271,2)</f>
        <v>0</v>
      </c>
      <c r="DG271">
        <f>ROUND(ROUND(AF271*AJ271,2)*CX271,2)</f>
        <v>4.8600000000000003</v>
      </c>
      <c r="DH271">
        <f>ROUND(ROUND(AG271*AK271,2)*CX271,2)</f>
        <v>0</v>
      </c>
      <c r="DI271">
        <f t="shared" si="115"/>
        <v>0</v>
      </c>
      <c r="DJ271">
        <f>DG271</f>
        <v>4.8600000000000003</v>
      </c>
      <c r="DK271">
        <v>0</v>
      </c>
      <c r="DL271" t="s">
        <v>3</v>
      </c>
      <c r="DM271">
        <v>0</v>
      </c>
      <c r="DN271" t="s">
        <v>3</v>
      </c>
      <c r="DO271">
        <v>0</v>
      </c>
    </row>
    <row r="272" spans="1:119" x14ac:dyDescent="0.2">
      <c r="A272">
        <f>ROW(Source!A321)</f>
        <v>321</v>
      </c>
      <c r="B272">
        <v>94798619</v>
      </c>
      <c r="C272">
        <v>94799764</v>
      </c>
      <c r="D272">
        <v>37804456</v>
      </c>
      <c r="E272">
        <v>1</v>
      </c>
      <c r="F272">
        <v>1</v>
      </c>
      <c r="G272">
        <v>1</v>
      </c>
      <c r="H272">
        <v>2</v>
      </c>
      <c r="I272" t="s">
        <v>713</v>
      </c>
      <c r="J272" t="s">
        <v>714</v>
      </c>
      <c r="K272" t="s">
        <v>715</v>
      </c>
      <c r="L272">
        <v>1368</v>
      </c>
      <c r="N272">
        <v>1011</v>
      </c>
      <c r="O272" t="s">
        <v>700</v>
      </c>
      <c r="P272" t="s">
        <v>700</v>
      </c>
      <c r="Q272">
        <v>1</v>
      </c>
      <c r="W272">
        <v>0</v>
      </c>
      <c r="X272">
        <v>-671646184</v>
      </c>
      <c r="Y272">
        <f t="shared" si="97"/>
        <v>0.04</v>
      </c>
      <c r="AA272">
        <v>0</v>
      </c>
      <c r="AB272">
        <v>1305.74</v>
      </c>
      <c r="AC272">
        <v>365.04</v>
      </c>
      <c r="AD272">
        <v>0</v>
      </c>
      <c r="AE272">
        <v>0</v>
      </c>
      <c r="AF272">
        <v>91.76</v>
      </c>
      <c r="AG272">
        <v>10.35</v>
      </c>
      <c r="AH272">
        <v>0</v>
      </c>
      <c r="AI272">
        <v>1</v>
      </c>
      <c r="AJ272">
        <v>14.23</v>
      </c>
      <c r="AK272">
        <v>35.270000000000003</v>
      </c>
      <c r="AL272">
        <v>1</v>
      </c>
      <c r="AM272">
        <v>2</v>
      </c>
      <c r="AN272">
        <v>0</v>
      </c>
      <c r="AO272">
        <v>1</v>
      </c>
      <c r="AP272">
        <v>1</v>
      </c>
      <c r="AQ272">
        <v>0</v>
      </c>
      <c r="AR272">
        <v>0</v>
      </c>
      <c r="AS272" t="s">
        <v>3</v>
      </c>
      <c r="AT272">
        <v>0.04</v>
      </c>
      <c r="AU272" t="s">
        <v>3</v>
      </c>
      <c r="AV272">
        <v>0</v>
      </c>
      <c r="AW272">
        <v>2</v>
      </c>
      <c r="AX272">
        <v>94799777</v>
      </c>
      <c r="AY272">
        <v>1</v>
      </c>
      <c r="AZ272">
        <v>0</v>
      </c>
      <c r="BA272">
        <v>272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V272">
        <v>0</v>
      </c>
      <c r="CW272">
        <f>ROUND(Y272*Source!I321*DO272,9)</f>
        <v>0</v>
      </c>
      <c r="CX272">
        <f>ROUND(Y272*Source!I321,9)</f>
        <v>1.5679999999999999E-3</v>
      </c>
      <c r="CY272">
        <f>AB272</f>
        <v>1305.74</v>
      </c>
      <c r="CZ272">
        <f>AF272</f>
        <v>91.76</v>
      </c>
      <c r="DA272">
        <f>AJ272</f>
        <v>14.23</v>
      </c>
      <c r="DB272">
        <f t="shared" si="98"/>
        <v>3.67</v>
      </c>
      <c r="DC272">
        <f t="shared" si="99"/>
        <v>0.41</v>
      </c>
      <c r="DD272" t="s">
        <v>3</v>
      </c>
      <c r="DE272" t="s">
        <v>3</v>
      </c>
      <c r="DF272">
        <f>ROUND(ROUND(AE272,2)*CX272,2)</f>
        <v>0</v>
      </c>
      <c r="DG272">
        <f>ROUND(ROUND(AF272*AJ272,2)*CX272,2)</f>
        <v>2.0499999999999998</v>
      </c>
      <c r="DH272">
        <f>ROUND(ROUND(AG272*AK272,2)*CX272,2)</f>
        <v>0.56999999999999995</v>
      </c>
      <c r="DI272">
        <f t="shared" si="115"/>
        <v>0</v>
      </c>
      <c r="DJ272">
        <f>DG272</f>
        <v>2.0499999999999998</v>
      </c>
      <c r="DK272">
        <v>0</v>
      </c>
      <c r="DL272" t="s">
        <v>3</v>
      </c>
      <c r="DM272">
        <v>0</v>
      </c>
      <c r="DN272" t="s">
        <v>3</v>
      </c>
      <c r="DO272">
        <v>0</v>
      </c>
    </row>
    <row r="273" spans="1:119" x14ac:dyDescent="0.2">
      <c r="A273">
        <f>ROW(Source!A321)</f>
        <v>321</v>
      </c>
      <c r="B273">
        <v>94798619</v>
      </c>
      <c r="C273">
        <v>94799764</v>
      </c>
      <c r="D273">
        <v>37729991</v>
      </c>
      <c r="E273">
        <v>1</v>
      </c>
      <c r="F273">
        <v>1</v>
      </c>
      <c r="G273">
        <v>1</v>
      </c>
      <c r="H273">
        <v>3</v>
      </c>
      <c r="I273" t="s">
        <v>969</v>
      </c>
      <c r="J273" t="s">
        <v>970</v>
      </c>
      <c r="K273" t="s">
        <v>971</v>
      </c>
      <c r="L273">
        <v>1346</v>
      </c>
      <c r="N273">
        <v>1009</v>
      </c>
      <c r="O273" t="s">
        <v>192</v>
      </c>
      <c r="P273" t="s">
        <v>192</v>
      </c>
      <c r="Q273">
        <v>1</v>
      </c>
      <c r="W273">
        <v>0</v>
      </c>
      <c r="X273">
        <v>844235703</v>
      </c>
      <c r="Y273">
        <f t="shared" si="97"/>
        <v>1</v>
      </c>
      <c r="AA273">
        <v>27.37</v>
      </c>
      <c r="AB273">
        <v>0</v>
      </c>
      <c r="AC273">
        <v>0</v>
      </c>
      <c r="AD273">
        <v>0</v>
      </c>
      <c r="AE273">
        <v>1.82</v>
      </c>
      <c r="AF273">
        <v>0</v>
      </c>
      <c r="AG273">
        <v>0</v>
      </c>
      <c r="AH273">
        <v>0</v>
      </c>
      <c r="AI273">
        <v>15.04</v>
      </c>
      <c r="AJ273">
        <v>1</v>
      </c>
      <c r="AK273">
        <v>1</v>
      </c>
      <c r="AL273">
        <v>1</v>
      </c>
      <c r="AM273">
        <v>2</v>
      </c>
      <c r="AN273">
        <v>0</v>
      </c>
      <c r="AO273">
        <v>1</v>
      </c>
      <c r="AP273">
        <v>1</v>
      </c>
      <c r="AQ273">
        <v>0</v>
      </c>
      <c r="AR273">
        <v>0</v>
      </c>
      <c r="AS273" t="s">
        <v>3</v>
      </c>
      <c r="AT273">
        <v>1</v>
      </c>
      <c r="AU273" t="s">
        <v>3</v>
      </c>
      <c r="AV273">
        <v>0</v>
      </c>
      <c r="AW273">
        <v>2</v>
      </c>
      <c r="AX273">
        <v>94799778</v>
      </c>
      <c r="AY273">
        <v>1</v>
      </c>
      <c r="AZ273">
        <v>0</v>
      </c>
      <c r="BA273">
        <v>273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V273">
        <v>0</v>
      </c>
      <c r="CW273">
        <v>0</v>
      </c>
      <c r="CX273">
        <f>ROUND(Y273*Source!I321,9)</f>
        <v>3.9199999999999999E-2</v>
      </c>
      <c r="CY273">
        <f>AA273</f>
        <v>27.37</v>
      </c>
      <c r="CZ273">
        <f>AE273</f>
        <v>1.82</v>
      </c>
      <c r="DA273">
        <f>AI273</f>
        <v>15.04</v>
      </c>
      <c r="DB273">
        <f t="shared" si="98"/>
        <v>1.82</v>
      </c>
      <c r="DC273">
        <f t="shared" si="99"/>
        <v>0</v>
      </c>
      <c r="DD273" t="s">
        <v>3</v>
      </c>
      <c r="DE273" t="s">
        <v>3</v>
      </c>
      <c r="DF273">
        <f>ROUND(ROUND(AE273*AI273,2)*CX273,2)</f>
        <v>1.07</v>
      </c>
      <c r="DG273">
        <f>ROUND(ROUND(AF273,2)*CX273,2)</f>
        <v>0</v>
      </c>
      <c r="DH273">
        <f>ROUND(ROUND(AG273,2)*CX273,2)</f>
        <v>0</v>
      </c>
      <c r="DI273">
        <f t="shared" si="115"/>
        <v>0</v>
      </c>
      <c r="DJ273">
        <f>DF273</f>
        <v>1.07</v>
      </c>
      <c r="DK273">
        <v>0</v>
      </c>
      <c r="DL273" t="s">
        <v>3</v>
      </c>
      <c r="DM273">
        <v>0</v>
      </c>
      <c r="DN273" t="s">
        <v>3</v>
      </c>
      <c r="DO273">
        <v>0</v>
      </c>
    </row>
    <row r="274" spans="1:119" x14ac:dyDescent="0.2">
      <c r="A274">
        <f>ROW(Source!A321)</f>
        <v>321</v>
      </c>
      <c r="B274">
        <v>94798619</v>
      </c>
      <c r="C274">
        <v>94799764</v>
      </c>
      <c r="D274">
        <v>37731470</v>
      </c>
      <c r="E274">
        <v>1</v>
      </c>
      <c r="F274">
        <v>1</v>
      </c>
      <c r="G274">
        <v>1</v>
      </c>
      <c r="H274">
        <v>3</v>
      </c>
      <c r="I274" t="s">
        <v>972</v>
      </c>
      <c r="J274" t="s">
        <v>973</v>
      </c>
      <c r="K274" t="s">
        <v>974</v>
      </c>
      <c r="L274">
        <v>1346</v>
      </c>
      <c r="N274">
        <v>1009</v>
      </c>
      <c r="O274" t="s">
        <v>192</v>
      </c>
      <c r="P274" t="s">
        <v>192</v>
      </c>
      <c r="Q274">
        <v>1</v>
      </c>
      <c r="W274">
        <v>0</v>
      </c>
      <c r="X274">
        <v>1617635949</v>
      </c>
      <c r="Y274">
        <f t="shared" si="97"/>
        <v>13.8</v>
      </c>
      <c r="AA274">
        <v>78.430000000000007</v>
      </c>
      <c r="AB274">
        <v>0</v>
      </c>
      <c r="AC274">
        <v>0</v>
      </c>
      <c r="AD274">
        <v>0</v>
      </c>
      <c r="AE274">
        <v>15.47</v>
      </c>
      <c r="AF274">
        <v>0</v>
      </c>
      <c r="AG274">
        <v>0</v>
      </c>
      <c r="AH274">
        <v>0</v>
      </c>
      <c r="AI274">
        <v>5.07</v>
      </c>
      <c r="AJ274">
        <v>1</v>
      </c>
      <c r="AK274">
        <v>1</v>
      </c>
      <c r="AL274">
        <v>1</v>
      </c>
      <c r="AM274">
        <v>2</v>
      </c>
      <c r="AN274">
        <v>0</v>
      </c>
      <c r="AO274">
        <v>1</v>
      </c>
      <c r="AP274">
        <v>1</v>
      </c>
      <c r="AQ274">
        <v>0</v>
      </c>
      <c r="AR274">
        <v>0</v>
      </c>
      <c r="AS274" t="s">
        <v>3</v>
      </c>
      <c r="AT274">
        <v>13.8</v>
      </c>
      <c r="AU274" t="s">
        <v>3</v>
      </c>
      <c r="AV274">
        <v>0</v>
      </c>
      <c r="AW274">
        <v>2</v>
      </c>
      <c r="AX274">
        <v>94799779</v>
      </c>
      <c r="AY274">
        <v>1</v>
      </c>
      <c r="AZ274">
        <v>0</v>
      </c>
      <c r="BA274">
        <v>274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V274">
        <v>0</v>
      </c>
      <c r="CW274">
        <v>0</v>
      </c>
      <c r="CX274">
        <f>ROUND(Y274*Source!I321,9)</f>
        <v>0.54096</v>
      </c>
      <c r="CY274">
        <f>AA274</f>
        <v>78.430000000000007</v>
      </c>
      <c r="CZ274">
        <f>AE274</f>
        <v>15.47</v>
      </c>
      <c r="DA274">
        <f>AI274</f>
        <v>5.07</v>
      </c>
      <c r="DB274">
        <f t="shared" si="98"/>
        <v>213.49</v>
      </c>
      <c r="DC274">
        <f t="shared" si="99"/>
        <v>0</v>
      </c>
      <c r="DD274" t="s">
        <v>3</v>
      </c>
      <c r="DE274" t="s">
        <v>3</v>
      </c>
      <c r="DF274">
        <f>ROUND(ROUND(AE274*AI274,2)*CX274,2)</f>
        <v>42.43</v>
      </c>
      <c r="DG274">
        <f>ROUND(ROUND(AF274,2)*CX274,2)</f>
        <v>0</v>
      </c>
      <c r="DH274">
        <f>ROUND(ROUND(AG274,2)*CX274,2)</f>
        <v>0</v>
      </c>
      <c r="DI274">
        <f t="shared" si="115"/>
        <v>0</v>
      </c>
      <c r="DJ274">
        <f>DF274</f>
        <v>42.43</v>
      </c>
      <c r="DK274">
        <v>0</v>
      </c>
      <c r="DL274" t="s">
        <v>3</v>
      </c>
      <c r="DM274">
        <v>0</v>
      </c>
      <c r="DN274" t="s">
        <v>3</v>
      </c>
      <c r="DO274">
        <v>0</v>
      </c>
    </row>
    <row r="275" spans="1:119" x14ac:dyDescent="0.2">
      <c r="A275">
        <f>ROW(Source!A321)</f>
        <v>321</v>
      </c>
      <c r="B275">
        <v>94798619</v>
      </c>
      <c r="C275">
        <v>94799764</v>
      </c>
      <c r="D275">
        <v>37777802</v>
      </c>
      <c r="E275">
        <v>1</v>
      </c>
      <c r="F275">
        <v>1</v>
      </c>
      <c r="G275">
        <v>1</v>
      </c>
      <c r="H275">
        <v>3</v>
      </c>
      <c r="I275" t="s">
        <v>883</v>
      </c>
      <c r="J275" t="s">
        <v>884</v>
      </c>
      <c r="K275" t="s">
        <v>885</v>
      </c>
      <c r="L275">
        <v>1339</v>
      </c>
      <c r="N275">
        <v>1007</v>
      </c>
      <c r="O275" t="s">
        <v>52</v>
      </c>
      <c r="P275" t="s">
        <v>52</v>
      </c>
      <c r="Q275">
        <v>1</v>
      </c>
      <c r="W275">
        <v>0</v>
      </c>
      <c r="X275">
        <v>-1418712732</v>
      </c>
      <c r="Y275">
        <f t="shared" si="97"/>
        <v>0.01</v>
      </c>
      <c r="AA275">
        <v>19.59</v>
      </c>
      <c r="AB275">
        <v>0</v>
      </c>
      <c r="AC275">
        <v>0</v>
      </c>
      <c r="AD275">
        <v>0</v>
      </c>
      <c r="AE275">
        <v>2.4700000000000002</v>
      </c>
      <c r="AF275">
        <v>0</v>
      </c>
      <c r="AG275">
        <v>0</v>
      </c>
      <c r="AH275">
        <v>0</v>
      </c>
      <c r="AI275">
        <v>7.93</v>
      </c>
      <c r="AJ275">
        <v>1</v>
      </c>
      <c r="AK275">
        <v>1</v>
      </c>
      <c r="AL275">
        <v>1</v>
      </c>
      <c r="AM275">
        <v>2</v>
      </c>
      <c r="AN275">
        <v>0</v>
      </c>
      <c r="AO275">
        <v>1</v>
      </c>
      <c r="AP275">
        <v>1</v>
      </c>
      <c r="AQ275">
        <v>0</v>
      </c>
      <c r="AR275">
        <v>0</v>
      </c>
      <c r="AS275" t="s">
        <v>3</v>
      </c>
      <c r="AT275">
        <v>0.01</v>
      </c>
      <c r="AU275" t="s">
        <v>3</v>
      </c>
      <c r="AV275">
        <v>0</v>
      </c>
      <c r="AW275">
        <v>2</v>
      </c>
      <c r="AX275">
        <v>94799780</v>
      </c>
      <c r="AY275">
        <v>1</v>
      </c>
      <c r="AZ275">
        <v>0</v>
      </c>
      <c r="BA275">
        <v>275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V275">
        <v>0</v>
      </c>
      <c r="CW275">
        <v>0</v>
      </c>
      <c r="CX275">
        <f>ROUND(Y275*Source!I321,9)</f>
        <v>3.9199999999999999E-4</v>
      </c>
      <c r="CY275">
        <f>AA275</f>
        <v>19.59</v>
      </c>
      <c r="CZ275">
        <f>AE275</f>
        <v>2.4700000000000002</v>
      </c>
      <c r="DA275">
        <f>AI275</f>
        <v>7.93</v>
      </c>
      <c r="DB275">
        <f t="shared" si="98"/>
        <v>0.02</v>
      </c>
      <c r="DC275">
        <f t="shared" si="99"/>
        <v>0</v>
      </c>
      <c r="DD275" t="s">
        <v>3</v>
      </c>
      <c r="DE275" t="s">
        <v>3</v>
      </c>
      <c r="DF275">
        <f>ROUND(ROUND(AE275*AI275,2)*CX275,2)</f>
        <v>0.01</v>
      </c>
      <c r="DG275">
        <f>ROUND(ROUND(AF275,2)*CX275,2)</f>
        <v>0</v>
      </c>
      <c r="DH275">
        <f>ROUND(ROUND(AG275,2)*CX275,2)</f>
        <v>0</v>
      </c>
      <c r="DI275">
        <f t="shared" si="115"/>
        <v>0</v>
      </c>
      <c r="DJ275">
        <f>DF275</f>
        <v>0.01</v>
      </c>
      <c r="DK275">
        <v>0</v>
      </c>
      <c r="DL275" t="s">
        <v>3</v>
      </c>
      <c r="DM275">
        <v>0</v>
      </c>
      <c r="DN275" t="s">
        <v>3</v>
      </c>
      <c r="DO275">
        <v>0</v>
      </c>
    </row>
    <row r="276" spans="1:119" x14ac:dyDescent="0.2">
      <c r="A276">
        <f>ROW(Source!A322)</f>
        <v>322</v>
      </c>
      <c r="B276">
        <v>94798619</v>
      </c>
      <c r="C276">
        <v>94799781</v>
      </c>
      <c r="D276">
        <v>23129536</v>
      </c>
      <c r="E276">
        <v>1</v>
      </c>
      <c r="F276">
        <v>1</v>
      </c>
      <c r="G276">
        <v>1</v>
      </c>
      <c r="H276">
        <v>1</v>
      </c>
      <c r="I276" t="s">
        <v>895</v>
      </c>
      <c r="J276" t="s">
        <v>3</v>
      </c>
      <c r="K276" t="s">
        <v>896</v>
      </c>
      <c r="L276">
        <v>1369</v>
      </c>
      <c r="N276">
        <v>1013</v>
      </c>
      <c r="O276" t="s">
        <v>696</v>
      </c>
      <c r="P276" t="s">
        <v>696</v>
      </c>
      <c r="Q276">
        <v>1</v>
      </c>
      <c r="W276">
        <v>0</v>
      </c>
      <c r="X276">
        <v>1663406391</v>
      </c>
      <c r="Y276">
        <f t="shared" si="97"/>
        <v>32.729999999999997</v>
      </c>
      <c r="AA276">
        <v>0</v>
      </c>
      <c r="AB276">
        <v>0</v>
      </c>
      <c r="AC276">
        <v>0</v>
      </c>
      <c r="AD276">
        <v>8.2799999999999994</v>
      </c>
      <c r="AE276">
        <v>0</v>
      </c>
      <c r="AF276">
        <v>0</v>
      </c>
      <c r="AG276">
        <v>0</v>
      </c>
      <c r="AH276">
        <v>8.2799999999999994</v>
      </c>
      <c r="AI276">
        <v>1</v>
      </c>
      <c r="AJ276">
        <v>1</v>
      </c>
      <c r="AK276">
        <v>1</v>
      </c>
      <c r="AL276">
        <v>1</v>
      </c>
      <c r="AM276">
        <v>-2</v>
      </c>
      <c r="AN276">
        <v>0</v>
      </c>
      <c r="AO276">
        <v>1</v>
      </c>
      <c r="AP276">
        <v>1</v>
      </c>
      <c r="AQ276">
        <v>0</v>
      </c>
      <c r="AR276">
        <v>0</v>
      </c>
      <c r="AS276" t="s">
        <v>3</v>
      </c>
      <c r="AT276">
        <v>32.729999999999997</v>
      </c>
      <c r="AU276" t="s">
        <v>3</v>
      </c>
      <c r="AV276">
        <v>1</v>
      </c>
      <c r="AW276">
        <v>2</v>
      </c>
      <c r="AX276">
        <v>94799791</v>
      </c>
      <c r="AY276">
        <v>1</v>
      </c>
      <c r="AZ276">
        <v>0</v>
      </c>
      <c r="BA276">
        <v>276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U276">
        <f>ROUND(AT276*Source!I322*AH276*AL276,2)</f>
        <v>10.62</v>
      </c>
      <c r="CV276">
        <f>ROUND(Y276*Source!I322,9)</f>
        <v>1.2830159999999999</v>
      </c>
      <c r="CW276">
        <v>0</v>
      </c>
      <c r="CX276">
        <f>ROUND(Y276*Source!I322,9)</f>
        <v>1.2830159999999999</v>
      </c>
      <c r="CY276">
        <f>AD276</f>
        <v>8.2799999999999994</v>
      </c>
      <c r="CZ276">
        <f>AH276</f>
        <v>8.2799999999999994</v>
      </c>
      <c r="DA276">
        <f>AL276</f>
        <v>1</v>
      </c>
      <c r="DB276">
        <f t="shared" si="98"/>
        <v>271</v>
      </c>
      <c r="DC276">
        <f t="shared" si="99"/>
        <v>0</v>
      </c>
      <c r="DD276" t="s">
        <v>3</v>
      </c>
      <c r="DE276" t="s">
        <v>3</v>
      </c>
      <c r="DF276">
        <f>ROUND(ROUND(AE276,2)*CX276,2)</f>
        <v>0</v>
      </c>
      <c r="DG276">
        <f>ROUND(ROUND(AF276,2)*CX276,2)</f>
        <v>0</v>
      </c>
      <c r="DH276">
        <f>ROUND(ROUND(AG276,2)*CX276,2)</f>
        <v>0</v>
      </c>
      <c r="DI276">
        <f t="shared" si="115"/>
        <v>10.62</v>
      </c>
      <c r="DJ276">
        <f>DI276</f>
        <v>10.62</v>
      </c>
      <c r="DK276">
        <v>0</v>
      </c>
      <c r="DL276" t="s">
        <v>3</v>
      </c>
      <c r="DM276">
        <v>0</v>
      </c>
      <c r="DN276" t="s">
        <v>3</v>
      </c>
      <c r="DO276">
        <v>0</v>
      </c>
    </row>
    <row r="277" spans="1:119" x14ac:dyDescent="0.2">
      <c r="A277">
        <f>ROW(Source!A322)</f>
        <v>322</v>
      </c>
      <c r="B277">
        <v>94798619</v>
      </c>
      <c r="C277">
        <v>94799781</v>
      </c>
      <c r="D277">
        <v>121548</v>
      </c>
      <c r="E277">
        <v>1</v>
      </c>
      <c r="F277">
        <v>1</v>
      </c>
      <c r="G277">
        <v>1</v>
      </c>
      <c r="H277">
        <v>1</v>
      </c>
      <c r="I277" t="s">
        <v>28</v>
      </c>
      <c r="J277" t="s">
        <v>3</v>
      </c>
      <c r="K277" t="s">
        <v>705</v>
      </c>
      <c r="L277">
        <v>608254</v>
      </c>
      <c r="N277">
        <v>1013</v>
      </c>
      <c r="O277" t="s">
        <v>706</v>
      </c>
      <c r="P277" t="s">
        <v>706</v>
      </c>
      <c r="Q277">
        <v>1</v>
      </c>
      <c r="W277">
        <v>0</v>
      </c>
      <c r="X277">
        <v>-185737400</v>
      </c>
      <c r="Y277">
        <f t="shared" si="97"/>
        <v>0.01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1</v>
      </c>
      <c r="AJ277">
        <v>1</v>
      </c>
      <c r="AK277">
        <v>1</v>
      </c>
      <c r="AL277">
        <v>1</v>
      </c>
      <c r="AM277">
        <v>-2</v>
      </c>
      <c r="AN277">
        <v>0</v>
      </c>
      <c r="AO277">
        <v>1</v>
      </c>
      <c r="AP277">
        <v>1</v>
      </c>
      <c r="AQ277">
        <v>0</v>
      </c>
      <c r="AR277">
        <v>0</v>
      </c>
      <c r="AS277" t="s">
        <v>3</v>
      </c>
      <c r="AT277">
        <v>0.01</v>
      </c>
      <c r="AU277" t="s">
        <v>3</v>
      </c>
      <c r="AV277">
        <v>2</v>
      </c>
      <c r="AW277">
        <v>2</v>
      </c>
      <c r="AX277">
        <v>94799792</v>
      </c>
      <c r="AY277">
        <v>1</v>
      </c>
      <c r="AZ277">
        <v>0</v>
      </c>
      <c r="BA277">
        <v>277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V277">
        <v>0</v>
      </c>
      <c r="CW277">
        <v>0</v>
      </c>
      <c r="CX277">
        <f>ROUND(Y277*Source!I322,9)</f>
        <v>3.9199999999999999E-4</v>
      </c>
      <c r="CY277">
        <f>AD277</f>
        <v>0</v>
      </c>
      <c r="CZ277">
        <f>AH277</f>
        <v>0</v>
      </c>
      <c r="DA277">
        <f>AL277</f>
        <v>1</v>
      </c>
      <c r="DB277">
        <f t="shared" si="98"/>
        <v>0</v>
      </c>
      <c r="DC277">
        <f t="shared" si="99"/>
        <v>0</v>
      </c>
      <c r="DD277" t="s">
        <v>3</v>
      </c>
      <c r="DE277" t="s">
        <v>3</v>
      </c>
      <c r="DF277">
        <f>ROUND(ROUND(AE277,2)*CX277,2)</f>
        <v>0</v>
      </c>
      <c r="DG277">
        <f>ROUND(ROUND(AF277,2)*CX277,2)</f>
        <v>0</v>
      </c>
      <c r="DH277">
        <f>ROUND(ROUND(AG277,2)*CX277,2)</f>
        <v>0</v>
      </c>
      <c r="DI277">
        <f t="shared" si="115"/>
        <v>0</v>
      </c>
      <c r="DJ277">
        <f>DI277</f>
        <v>0</v>
      </c>
      <c r="DK277">
        <v>0</v>
      </c>
      <c r="DL277" t="s">
        <v>3</v>
      </c>
      <c r="DM277">
        <v>0</v>
      </c>
      <c r="DN277" t="s">
        <v>3</v>
      </c>
      <c r="DO277">
        <v>0</v>
      </c>
    </row>
    <row r="278" spans="1:119" x14ac:dyDescent="0.2">
      <c r="A278">
        <f>ROW(Source!A322)</f>
        <v>322</v>
      </c>
      <c r="B278">
        <v>94798619</v>
      </c>
      <c r="C278">
        <v>94799781</v>
      </c>
      <c r="D278">
        <v>37802576</v>
      </c>
      <c r="E278">
        <v>1</v>
      </c>
      <c r="F278">
        <v>1</v>
      </c>
      <c r="G278">
        <v>1</v>
      </c>
      <c r="H278">
        <v>2</v>
      </c>
      <c r="I278" t="s">
        <v>966</v>
      </c>
      <c r="J278" t="s">
        <v>967</v>
      </c>
      <c r="K278" t="s">
        <v>968</v>
      </c>
      <c r="L278">
        <v>1368</v>
      </c>
      <c r="N278">
        <v>1011</v>
      </c>
      <c r="O278" t="s">
        <v>700</v>
      </c>
      <c r="P278" t="s">
        <v>700</v>
      </c>
      <c r="Q278">
        <v>1</v>
      </c>
      <c r="W278">
        <v>0</v>
      </c>
      <c r="X278">
        <v>1410020565</v>
      </c>
      <c r="Y278">
        <f t="shared" si="97"/>
        <v>0.01</v>
      </c>
      <c r="AA278">
        <v>0</v>
      </c>
      <c r="AB278">
        <v>427.68</v>
      </c>
      <c r="AC278">
        <v>365.04</v>
      </c>
      <c r="AD278">
        <v>0</v>
      </c>
      <c r="AE278">
        <v>0</v>
      </c>
      <c r="AF278">
        <v>28.1</v>
      </c>
      <c r="AG278">
        <v>10.35</v>
      </c>
      <c r="AH278">
        <v>0</v>
      </c>
      <c r="AI278">
        <v>1</v>
      </c>
      <c r="AJ278">
        <v>15.22</v>
      </c>
      <c r="AK278">
        <v>35.270000000000003</v>
      </c>
      <c r="AL278">
        <v>1</v>
      </c>
      <c r="AM278">
        <v>2</v>
      </c>
      <c r="AN278">
        <v>0</v>
      </c>
      <c r="AO278">
        <v>1</v>
      </c>
      <c r="AP278">
        <v>1</v>
      </c>
      <c r="AQ278">
        <v>0</v>
      </c>
      <c r="AR278">
        <v>0</v>
      </c>
      <c r="AS278" t="s">
        <v>3</v>
      </c>
      <c r="AT278">
        <v>0.01</v>
      </c>
      <c r="AU278" t="s">
        <v>3</v>
      </c>
      <c r="AV278">
        <v>0</v>
      </c>
      <c r="AW278">
        <v>2</v>
      </c>
      <c r="AX278">
        <v>94799793</v>
      </c>
      <c r="AY278">
        <v>1</v>
      </c>
      <c r="AZ278">
        <v>0</v>
      </c>
      <c r="BA278">
        <v>278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V278">
        <v>0</v>
      </c>
      <c r="CW278">
        <f>ROUND(Y278*Source!I322*DO278,9)</f>
        <v>0</v>
      </c>
      <c r="CX278">
        <f>ROUND(Y278*Source!I322,9)</f>
        <v>3.9199999999999999E-4</v>
      </c>
      <c r="CY278">
        <f>AB278</f>
        <v>427.68</v>
      </c>
      <c r="CZ278">
        <f>AF278</f>
        <v>28.1</v>
      </c>
      <c r="DA278">
        <f>AJ278</f>
        <v>15.22</v>
      </c>
      <c r="DB278">
        <f t="shared" si="98"/>
        <v>0.28000000000000003</v>
      </c>
      <c r="DC278">
        <f t="shared" si="99"/>
        <v>0.1</v>
      </c>
      <c r="DD278" t="s">
        <v>3</v>
      </c>
      <c r="DE278" t="s">
        <v>3</v>
      </c>
      <c r="DF278">
        <f>ROUND(ROUND(AE278,2)*CX278,2)</f>
        <v>0</v>
      </c>
      <c r="DG278">
        <f>ROUND(ROUND(AF278*AJ278,2)*CX278,2)</f>
        <v>0.17</v>
      </c>
      <c r="DH278">
        <f>ROUND(ROUND(AG278*AK278,2)*CX278,2)</f>
        <v>0.14000000000000001</v>
      </c>
      <c r="DI278">
        <f t="shared" si="115"/>
        <v>0</v>
      </c>
      <c r="DJ278">
        <f>DG278</f>
        <v>0.17</v>
      </c>
      <c r="DK278">
        <v>0</v>
      </c>
      <c r="DL278" t="s">
        <v>3</v>
      </c>
      <c r="DM278">
        <v>0</v>
      </c>
      <c r="DN278" t="s">
        <v>3</v>
      </c>
      <c r="DO278">
        <v>0</v>
      </c>
    </row>
    <row r="279" spans="1:119" x14ac:dyDescent="0.2">
      <c r="A279">
        <f>ROW(Source!A322)</f>
        <v>322</v>
      </c>
      <c r="B279">
        <v>94798619</v>
      </c>
      <c r="C279">
        <v>94799781</v>
      </c>
      <c r="D279">
        <v>37804456</v>
      </c>
      <c r="E279">
        <v>1</v>
      </c>
      <c r="F279">
        <v>1</v>
      </c>
      <c r="G279">
        <v>1</v>
      </c>
      <c r="H279">
        <v>2</v>
      </c>
      <c r="I279" t="s">
        <v>713</v>
      </c>
      <c r="J279" t="s">
        <v>714</v>
      </c>
      <c r="K279" t="s">
        <v>715</v>
      </c>
      <c r="L279">
        <v>1368</v>
      </c>
      <c r="N279">
        <v>1011</v>
      </c>
      <c r="O279" t="s">
        <v>700</v>
      </c>
      <c r="P279" t="s">
        <v>700</v>
      </c>
      <c r="Q279">
        <v>1</v>
      </c>
      <c r="W279">
        <v>0</v>
      </c>
      <c r="X279">
        <v>-671646184</v>
      </c>
      <c r="Y279">
        <f t="shared" si="97"/>
        <v>0.1</v>
      </c>
      <c r="AA279">
        <v>0</v>
      </c>
      <c r="AB279">
        <v>1305.74</v>
      </c>
      <c r="AC279">
        <v>365.04</v>
      </c>
      <c r="AD279">
        <v>0</v>
      </c>
      <c r="AE279">
        <v>0</v>
      </c>
      <c r="AF279">
        <v>91.76</v>
      </c>
      <c r="AG279">
        <v>10.35</v>
      </c>
      <c r="AH279">
        <v>0</v>
      </c>
      <c r="AI279">
        <v>1</v>
      </c>
      <c r="AJ279">
        <v>14.23</v>
      </c>
      <c r="AK279">
        <v>35.270000000000003</v>
      </c>
      <c r="AL279">
        <v>1</v>
      </c>
      <c r="AM279">
        <v>2</v>
      </c>
      <c r="AN279">
        <v>0</v>
      </c>
      <c r="AO279">
        <v>1</v>
      </c>
      <c r="AP279">
        <v>1</v>
      </c>
      <c r="AQ279">
        <v>0</v>
      </c>
      <c r="AR279">
        <v>0</v>
      </c>
      <c r="AS279" t="s">
        <v>3</v>
      </c>
      <c r="AT279">
        <v>0.1</v>
      </c>
      <c r="AU279" t="s">
        <v>3</v>
      </c>
      <c r="AV279">
        <v>0</v>
      </c>
      <c r="AW279">
        <v>2</v>
      </c>
      <c r="AX279">
        <v>94799794</v>
      </c>
      <c r="AY279">
        <v>1</v>
      </c>
      <c r="AZ279">
        <v>0</v>
      </c>
      <c r="BA279">
        <v>279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V279">
        <v>0</v>
      </c>
      <c r="CW279">
        <f>ROUND(Y279*Source!I322*DO279,9)</f>
        <v>0</v>
      </c>
      <c r="CX279">
        <f>ROUND(Y279*Source!I322,9)</f>
        <v>3.9199999999999999E-3</v>
      </c>
      <c r="CY279">
        <f>AB279</f>
        <v>1305.74</v>
      </c>
      <c r="CZ279">
        <f>AF279</f>
        <v>91.76</v>
      </c>
      <c r="DA279">
        <f>AJ279</f>
        <v>14.23</v>
      </c>
      <c r="DB279">
        <f t="shared" si="98"/>
        <v>9.18</v>
      </c>
      <c r="DC279">
        <f t="shared" si="99"/>
        <v>1.04</v>
      </c>
      <c r="DD279" t="s">
        <v>3</v>
      </c>
      <c r="DE279" t="s">
        <v>3</v>
      </c>
      <c r="DF279">
        <f>ROUND(ROUND(AE279,2)*CX279,2)</f>
        <v>0</v>
      </c>
      <c r="DG279">
        <f>ROUND(ROUND(AF279*AJ279,2)*CX279,2)</f>
        <v>5.12</v>
      </c>
      <c r="DH279">
        <f>ROUND(ROUND(AG279*AK279,2)*CX279,2)</f>
        <v>1.43</v>
      </c>
      <c r="DI279">
        <f t="shared" si="115"/>
        <v>0</v>
      </c>
      <c r="DJ279">
        <f>DG279</f>
        <v>5.12</v>
      </c>
      <c r="DK279">
        <v>0</v>
      </c>
      <c r="DL279" t="s">
        <v>3</v>
      </c>
      <c r="DM279">
        <v>0</v>
      </c>
      <c r="DN279" t="s">
        <v>3</v>
      </c>
      <c r="DO279">
        <v>0</v>
      </c>
    </row>
    <row r="280" spans="1:119" x14ac:dyDescent="0.2">
      <c r="A280">
        <f>ROW(Source!A322)</f>
        <v>322</v>
      </c>
      <c r="B280">
        <v>94798619</v>
      </c>
      <c r="C280">
        <v>94799781</v>
      </c>
      <c r="D280">
        <v>37729978</v>
      </c>
      <c r="E280">
        <v>1</v>
      </c>
      <c r="F280">
        <v>1</v>
      </c>
      <c r="G280">
        <v>1</v>
      </c>
      <c r="H280">
        <v>3</v>
      </c>
      <c r="I280" t="s">
        <v>975</v>
      </c>
      <c r="J280" t="s">
        <v>976</v>
      </c>
      <c r="K280" t="s">
        <v>977</v>
      </c>
      <c r="L280">
        <v>1327</v>
      </c>
      <c r="N280">
        <v>1005</v>
      </c>
      <c r="O280" t="s">
        <v>201</v>
      </c>
      <c r="P280" t="s">
        <v>201</v>
      </c>
      <c r="Q280">
        <v>1</v>
      </c>
      <c r="W280">
        <v>0</v>
      </c>
      <c r="X280">
        <v>1290542317</v>
      </c>
      <c r="Y280">
        <f t="shared" si="97"/>
        <v>0.84</v>
      </c>
      <c r="AA280">
        <v>531.54999999999995</v>
      </c>
      <c r="AB280">
        <v>0</v>
      </c>
      <c r="AC280">
        <v>0</v>
      </c>
      <c r="AD280">
        <v>0</v>
      </c>
      <c r="AE280">
        <v>72.319999999999993</v>
      </c>
      <c r="AF280">
        <v>0</v>
      </c>
      <c r="AG280">
        <v>0</v>
      </c>
      <c r="AH280">
        <v>0</v>
      </c>
      <c r="AI280">
        <v>7.35</v>
      </c>
      <c r="AJ280">
        <v>1</v>
      </c>
      <c r="AK280">
        <v>1</v>
      </c>
      <c r="AL280">
        <v>1</v>
      </c>
      <c r="AM280">
        <v>2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3</v>
      </c>
      <c r="AT280">
        <v>0.84</v>
      </c>
      <c r="AU280" t="s">
        <v>3</v>
      </c>
      <c r="AV280">
        <v>0</v>
      </c>
      <c r="AW280">
        <v>2</v>
      </c>
      <c r="AX280">
        <v>94799795</v>
      </c>
      <c r="AY280">
        <v>1</v>
      </c>
      <c r="AZ280">
        <v>0</v>
      </c>
      <c r="BA280">
        <v>280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V280">
        <v>0</v>
      </c>
      <c r="CW280">
        <v>0</v>
      </c>
      <c r="CX280">
        <f>ROUND(Y280*Source!I322,9)</f>
        <v>3.2927999999999999E-2</v>
      </c>
      <c r="CY280">
        <f>AA280</f>
        <v>531.54999999999995</v>
      </c>
      <c r="CZ280">
        <f>AE280</f>
        <v>72.319999999999993</v>
      </c>
      <c r="DA280">
        <f>AI280</f>
        <v>7.35</v>
      </c>
      <c r="DB280">
        <f t="shared" si="98"/>
        <v>60.75</v>
      </c>
      <c r="DC280">
        <f t="shared" si="99"/>
        <v>0</v>
      </c>
      <c r="DD280" t="s">
        <v>3</v>
      </c>
      <c r="DE280" t="s">
        <v>3</v>
      </c>
      <c r="DF280">
        <f>ROUND(ROUND(AE280*AI280,2)*CX280,2)</f>
        <v>17.5</v>
      </c>
      <c r="DG280">
        <f t="shared" ref="DG280:DG286" si="118">ROUND(ROUND(AF280,2)*CX280,2)</f>
        <v>0</v>
      </c>
      <c r="DH280">
        <f t="shared" ref="DH280:DH286" si="119">ROUND(ROUND(AG280,2)*CX280,2)</f>
        <v>0</v>
      </c>
      <c r="DI280">
        <f t="shared" si="115"/>
        <v>0</v>
      </c>
      <c r="DJ280">
        <f>DF280</f>
        <v>17.5</v>
      </c>
      <c r="DK280">
        <v>0</v>
      </c>
      <c r="DL280" t="s">
        <v>3</v>
      </c>
      <c r="DM280">
        <v>0</v>
      </c>
      <c r="DN280" t="s">
        <v>3</v>
      </c>
      <c r="DO280">
        <v>0</v>
      </c>
    </row>
    <row r="281" spans="1:119" x14ac:dyDescent="0.2">
      <c r="A281">
        <f>ROW(Source!A322)</f>
        <v>322</v>
      </c>
      <c r="B281">
        <v>94798619</v>
      </c>
      <c r="C281">
        <v>94799781</v>
      </c>
      <c r="D281">
        <v>37729991</v>
      </c>
      <c r="E281">
        <v>1</v>
      </c>
      <c r="F281">
        <v>1</v>
      </c>
      <c r="G281">
        <v>1</v>
      </c>
      <c r="H281">
        <v>3</v>
      </c>
      <c r="I281" t="s">
        <v>969</v>
      </c>
      <c r="J281" t="s">
        <v>970</v>
      </c>
      <c r="K281" t="s">
        <v>971</v>
      </c>
      <c r="L281">
        <v>1346</v>
      </c>
      <c r="N281">
        <v>1009</v>
      </c>
      <c r="O281" t="s">
        <v>192</v>
      </c>
      <c r="P281" t="s">
        <v>192</v>
      </c>
      <c r="Q281">
        <v>1</v>
      </c>
      <c r="W281">
        <v>0</v>
      </c>
      <c r="X281">
        <v>844235703</v>
      </c>
      <c r="Y281">
        <f t="shared" si="97"/>
        <v>0.31</v>
      </c>
      <c r="AA281">
        <v>27.37</v>
      </c>
      <c r="AB281">
        <v>0</v>
      </c>
      <c r="AC281">
        <v>0</v>
      </c>
      <c r="AD281">
        <v>0</v>
      </c>
      <c r="AE281">
        <v>1.82</v>
      </c>
      <c r="AF281">
        <v>0</v>
      </c>
      <c r="AG281">
        <v>0</v>
      </c>
      <c r="AH281">
        <v>0</v>
      </c>
      <c r="AI281">
        <v>15.04</v>
      </c>
      <c r="AJ281">
        <v>1</v>
      </c>
      <c r="AK281">
        <v>1</v>
      </c>
      <c r="AL281">
        <v>1</v>
      </c>
      <c r="AM281">
        <v>2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3</v>
      </c>
      <c r="AT281">
        <v>0.31</v>
      </c>
      <c r="AU281" t="s">
        <v>3</v>
      </c>
      <c r="AV281">
        <v>0</v>
      </c>
      <c r="AW281">
        <v>2</v>
      </c>
      <c r="AX281">
        <v>94799796</v>
      </c>
      <c r="AY281">
        <v>1</v>
      </c>
      <c r="AZ281">
        <v>0</v>
      </c>
      <c r="BA281">
        <v>281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V281">
        <v>0</v>
      </c>
      <c r="CW281">
        <v>0</v>
      </c>
      <c r="CX281">
        <f>ROUND(Y281*Source!I322,9)</f>
        <v>1.2152E-2</v>
      </c>
      <c r="CY281">
        <f>AA281</f>
        <v>27.37</v>
      </c>
      <c r="CZ281">
        <f>AE281</f>
        <v>1.82</v>
      </c>
      <c r="DA281">
        <f>AI281</f>
        <v>15.04</v>
      </c>
      <c r="DB281">
        <f t="shared" si="98"/>
        <v>0.56000000000000005</v>
      </c>
      <c r="DC281">
        <f t="shared" si="99"/>
        <v>0</v>
      </c>
      <c r="DD281" t="s">
        <v>3</v>
      </c>
      <c r="DE281" t="s">
        <v>3</v>
      </c>
      <c r="DF281">
        <f>ROUND(ROUND(AE281*AI281,2)*CX281,2)</f>
        <v>0.33</v>
      </c>
      <c r="DG281">
        <f t="shared" si="118"/>
        <v>0</v>
      </c>
      <c r="DH281">
        <f t="shared" si="119"/>
        <v>0</v>
      </c>
      <c r="DI281">
        <f t="shared" si="115"/>
        <v>0</v>
      </c>
      <c r="DJ281">
        <f>DF281</f>
        <v>0.33</v>
      </c>
      <c r="DK281">
        <v>0</v>
      </c>
      <c r="DL281" t="s">
        <v>3</v>
      </c>
      <c r="DM281">
        <v>0</v>
      </c>
      <c r="DN281" t="s">
        <v>3</v>
      </c>
      <c r="DO281">
        <v>0</v>
      </c>
    </row>
    <row r="282" spans="1:119" x14ac:dyDescent="0.2">
      <c r="A282">
        <f>ROW(Source!A322)</f>
        <v>322</v>
      </c>
      <c r="B282">
        <v>94798619</v>
      </c>
      <c r="C282">
        <v>94799781</v>
      </c>
      <c r="D282">
        <v>37732292</v>
      </c>
      <c r="E282">
        <v>1</v>
      </c>
      <c r="F282">
        <v>1</v>
      </c>
      <c r="G282">
        <v>1</v>
      </c>
      <c r="H282">
        <v>3</v>
      </c>
      <c r="I282" t="s">
        <v>978</v>
      </c>
      <c r="J282" t="s">
        <v>979</v>
      </c>
      <c r="K282" t="s">
        <v>980</v>
      </c>
      <c r="L282">
        <v>1348</v>
      </c>
      <c r="N282">
        <v>1009</v>
      </c>
      <c r="O282" t="s">
        <v>170</v>
      </c>
      <c r="P282" t="s">
        <v>170</v>
      </c>
      <c r="Q282">
        <v>1000</v>
      </c>
      <c r="W282">
        <v>0</v>
      </c>
      <c r="X282">
        <v>-646942192</v>
      </c>
      <c r="Y282">
        <f t="shared" si="97"/>
        <v>0.03</v>
      </c>
      <c r="AA282">
        <v>60942.32</v>
      </c>
      <c r="AB282">
        <v>0</v>
      </c>
      <c r="AC282">
        <v>0</v>
      </c>
      <c r="AD282">
        <v>0</v>
      </c>
      <c r="AE282">
        <v>4500.91</v>
      </c>
      <c r="AF282">
        <v>0</v>
      </c>
      <c r="AG282">
        <v>0</v>
      </c>
      <c r="AH282">
        <v>0</v>
      </c>
      <c r="AI282">
        <v>13.54</v>
      </c>
      <c r="AJ282">
        <v>1</v>
      </c>
      <c r="AK282">
        <v>1</v>
      </c>
      <c r="AL282">
        <v>1</v>
      </c>
      <c r="AM282">
        <v>2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3</v>
      </c>
      <c r="AT282">
        <v>0.03</v>
      </c>
      <c r="AU282" t="s">
        <v>3</v>
      </c>
      <c r="AV282">
        <v>0</v>
      </c>
      <c r="AW282">
        <v>2</v>
      </c>
      <c r="AX282">
        <v>94799797</v>
      </c>
      <c r="AY282">
        <v>1</v>
      </c>
      <c r="AZ282">
        <v>0</v>
      </c>
      <c r="BA282">
        <v>282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V282">
        <v>0</v>
      </c>
      <c r="CW282">
        <v>0</v>
      </c>
      <c r="CX282">
        <f>ROUND(Y282*Source!I322,9)</f>
        <v>1.176E-3</v>
      </c>
      <c r="CY282">
        <f>AA282</f>
        <v>60942.32</v>
      </c>
      <c r="CZ282">
        <f>AE282</f>
        <v>4500.91</v>
      </c>
      <c r="DA282">
        <f>AI282</f>
        <v>13.54</v>
      </c>
      <c r="DB282">
        <f t="shared" si="98"/>
        <v>135.03</v>
      </c>
      <c r="DC282">
        <f t="shared" si="99"/>
        <v>0</v>
      </c>
      <c r="DD282" t="s">
        <v>3</v>
      </c>
      <c r="DE282" t="s">
        <v>3</v>
      </c>
      <c r="DF282">
        <f>ROUND(ROUND(AE282*AI282,2)*CX282,2)</f>
        <v>71.67</v>
      </c>
      <c r="DG282">
        <f t="shared" si="118"/>
        <v>0</v>
      </c>
      <c r="DH282">
        <f t="shared" si="119"/>
        <v>0</v>
      </c>
      <c r="DI282">
        <f t="shared" si="115"/>
        <v>0</v>
      </c>
      <c r="DJ282">
        <f>DF282</f>
        <v>71.67</v>
      </c>
      <c r="DK282">
        <v>0</v>
      </c>
      <c r="DL282" t="s">
        <v>3</v>
      </c>
      <c r="DM282">
        <v>0</v>
      </c>
      <c r="DN282" t="s">
        <v>3</v>
      </c>
      <c r="DO282">
        <v>0</v>
      </c>
    </row>
    <row r="283" spans="1:119" x14ac:dyDescent="0.2">
      <c r="A283">
        <f>ROW(Source!A322)</f>
        <v>322</v>
      </c>
      <c r="B283">
        <v>94798619</v>
      </c>
      <c r="C283">
        <v>94799781</v>
      </c>
      <c r="D283">
        <v>37731907</v>
      </c>
      <c r="E283">
        <v>1</v>
      </c>
      <c r="F283">
        <v>1</v>
      </c>
      <c r="G283">
        <v>1</v>
      </c>
      <c r="H283">
        <v>3</v>
      </c>
      <c r="I283" t="s">
        <v>981</v>
      </c>
      <c r="J283" t="s">
        <v>982</v>
      </c>
      <c r="K283" t="s">
        <v>983</v>
      </c>
      <c r="L283">
        <v>1348</v>
      </c>
      <c r="N283">
        <v>1009</v>
      </c>
      <c r="O283" t="s">
        <v>170</v>
      </c>
      <c r="P283" t="s">
        <v>170</v>
      </c>
      <c r="Q283">
        <v>1000</v>
      </c>
      <c r="W283">
        <v>0</v>
      </c>
      <c r="X283">
        <v>876045080</v>
      </c>
      <c r="Y283">
        <f t="shared" ref="Y283:Y346" si="120">AT283</f>
        <v>5.0000000000000001E-3</v>
      </c>
      <c r="AA283">
        <v>74382.559999999998</v>
      </c>
      <c r="AB283">
        <v>0</v>
      </c>
      <c r="AC283">
        <v>0</v>
      </c>
      <c r="AD283">
        <v>0</v>
      </c>
      <c r="AE283">
        <v>11568.05</v>
      </c>
      <c r="AF283">
        <v>0</v>
      </c>
      <c r="AG283">
        <v>0</v>
      </c>
      <c r="AH283">
        <v>0</v>
      </c>
      <c r="AI283">
        <v>6.43</v>
      </c>
      <c r="AJ283">
        <v>1</v>
      </c>
      <c r="AK283">
        <v>1</v>
      </c>
      <c r="AL283">
        <v>1</v>
      </c>
      <c r="AM283">
        <v>2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3</v>
      </c>
      <c r="AT283">
        <v>5.0000000000000001E-3</v>
      </c>
      <c r="AU283" t="s">
        <v>3</v>
      </c>
      <c r="AV283">
        <v>0</v>
      </c>
      <c r="AW283">
        <v>2</v>
      </c>
      <c r="AX283">
        <v>94799798</v>
      </c>
      <c r="AY283">
        <v>1</v>
      </c>
      <c r="AZ283">
        <v>0</v>
      </c>
      <c r="BA283">
        <v>283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V283">
        <v>0</v>
      </c>
      <c r="CW283">
        <v>0</v>
      </c>
      <c r="CX283">
        <f>ROUND(Y283*Source!I322,9)</f>
        <v>1.9599999999999999E-4</v>
      </c>
      <c r="CY283">
        <f>AA283</f>
        <v>74382.559999999998</v>
      </c>
      <c r="CZ283">
        <f>AE283</f>
        <v>11568.05</v>
      </c>
      <c r="DA283">
        <f>AI283</f>
        <v>6.43</v>
      </c>
      <c r="DB283">
        <f t="shared" ref="DB283:DB346" si="121">ROUND(ROUND(AT283*CZ283,2),2)</f>
        <v>57.84</v>
      </c>
      <c r="DC283">
        <f t="shared" ref="DC283:DC346" si="122">ROUND(ROUND(AT283*AG283,2),2)</f>
        <v>0</v>
      </c>
      <c r="DD283" t="s">
        <v>3</v>
      </c>
      <c r="DE283" t="s">
        <v>3</v>
      </c>
      <c r="DF283">
        <f>ROUND(ROUND(AE283*AI283,2)*CX283,2)</f>
        <v>14.58</v>
      </c>
      <c r="DG283">
        <f t="shared" si="118"/>
        <v>0</v>
      </c>
      <c r="DH283">
        <f t="shared" si="119"/>
        <v>0</v>
      </c>
      <c r="DI283">
        <f t="shared" si="115"/>
        <v>0</v>
      </c>
      <c r="DJ283">
        <f>DF283</f>
        <v>14.58</v>
      </c>
      <c r="DK283">
        <v>0</v>
      </c>
      <c r="DL283" t="s">
        <v>3</v>
      </c>
      <c r="DM283">
        <v>0</v>
      </c>
      <c r="DN283" t="s">
        <v>3</v>
      </c>
      <c r="DO283">
        <v>0</v>
      </c>
    </row>
    <row r="284" spans="1:119" x14ac:dyDescent="0.2">
      <c r="A284">
        <f>ROW(Source!A322)</f>
        <v>322</v>
      </c>
      <c r="B284">
        <v>94798619</v>
      </c>
      <c r="C284">
        <v>94799781</v>
      </c>
      <c r="D284">
        <v>37731470</v>
      </c>
      <c r="E284">
        <v>1</v>
      </c>
      <c r="F284">
        <v>1</v>
      </c>
      <c r="G284">
        <v>1</v>
      </c>
      <c r="H284">
        <v>3</v>
      </c>
      <c r="I284" t="s">
        <v>972</v>
      </c>
      <c r="J284" t="s">
        <v>973</v>
      </c>
      <c r="K284" t="s">
        <v>974</v>
      </c>
      <c r="L284">
        <v>1346</v>
      </c>
      <c r="N284">
        <v>1009</v>
      </c>
      <c r="O284" t="s">
        <v>192</v>
      </c>
      <c r="P284" t="s">
        <v>192</v>
      </c>
      <c r="Q284">
        <v>1</v>
      </c>
      <c r="W284">
        <v>0</v>
      </c>
      <c r="X284">
        <v>1617635949</v>
      </c>
      <c r="Y284">
        <f t="shared" si="120"/>
        <v>20</v>
      </c>
      <c r="AA284">
        <v>78.430000000000007</v>
      </c>
      <c r="AB284">
        <v>0</v>
      </c>
      <c r="AC284">
        <v>0</v>
      </c>
      <c r="AD284">
        <v>0</v>
      </c>
      <c r="AE284">
        <v>15.47</v>
      </c>
      <c r="AF284">
        <v>0</v>
      </c>
      <c r="AG284">
        <v>0</v>
      </c>
      <c r="AH284">
        <v>0</v>
      </c>
      <c r="AI284">
        <v>5.07</v>
      </c>
      <c r="AJ284">
        <v>1</v>
      </c>
      <c r="AK284">
        <v>1</v>
      </c>
      <c r="AL284">
        <v>1</v>
      </c>
      <c r="AM284">
        <v>2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3</v>
      </c>
      <c r="AT284">
        <v>20</v>
      </c>
      <c r="AU284" t="s">
        <v>3</v>
      </c>
      <c r="AV284">
        <v>0</v>
      </c>
      <c r="AW284">
        <v>2</v>
      </c>
      <c r="AX284">
        <v>94799799</v>
      </c>
      <c r="AY284">
        <v>1</v>
      </c>
      <c r="AZ284">
        <v>0</v>
      </c>
      <c r="BA284">
        <v>284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V284">
        <v>0</v>
      </c>
      <c r="CW284">
        <v>0</v>
      </c>
      <c r="CX284">
        <f>ROUND(Y284*Source!I322,9)</f>
        <v>0.78400000000000003</v>
      </c>
      <c r="CY284">
        <f>AA284</f>
        <v>78.430000000000007</v>
      </c>
      <c r="CZ284">
        <f>AE284</f>
        <v>15.47</v>
      </c>
      <c r="DA284">
        <f>AI284</f>
        <v>5.07</v>
      </c>
      <c r="DB284">
        <f t="shared" si="121"/>
        <v>309.39999999999998</v>
      </c>
      <c r="DC284">
        <f t="shared" si="122"/>
        <v>0</v>
      </c>
      <c r="DD284" t="s">
        <v>3</v>
      </c>
      <c r="DE284" t="s">
        <v>3</v>
      </c>
      <c r="DF284">
        <f>ROUND(ROUND(AE284*AI284,2)*CX284,2)</f>
        <v>61.49</v>
      </c>
      <c r="DG284">
        <f t="shared" si="118"/>
        <v>0</v>
      </c>
      <c r="DH284">
        <f t="shared" si="119"/>
        <v>0</v>
      </c>
      <c r="DI284">
        <f t="shared" si="115"/>
        <v>0</v>
      </c>
      <c r="DJ284">
        <f>DF284</f>
        <v>61.49</v>
      </c>
      <c r="DK284">
        <v>0</v>
      </c>
      <c r="DL284" t="s">
        <v>3</v>
      </c>
      <c r="DM284">
        <v>0</v>
      </c>
      <c r="DN284" t="s">
        <v>3</v>
      </c>
      <c r="DO284">
        <v>0</v>
      </c>
    </row>
    <row r="285" spans="1:119" x14ac:dyDescent="0.2">
      <c r="A285">
        <f>ROW(Source!A323)</f>
        <v>323</v>
      </c>
      <c r="B285">
        <v>94798619</v>
      </c>
      <c r="C285">
        <v>94801565</v>
      </c>
      <c r="D285">
        <v>23129805</v>
      </c>
      <c r="E285">
        <v>1</v>
      </c>
      <c r="F285">
        <v>1</v>
      </c>
      <c r="G285">
        <v>1</v>
      </c>
      <c r="H285">
        <v>1</v>
      </c>
      <c r="I285" t="s">
        <v>703</v>
      </c>
      <c r="J285" t="s">
        <v>3</v>
      </c>
      <c r="K285" t="s">
        <v>704</v>
      </c>
      <c r="L285">
        <v>1369</v>
      </c>
      <c r="N285">
        <v>1013</v>
      </c>
      <c r="O285" t="s">
        <v>696</v>
      </c>
      <c r="P285" t="s">
        <v>696</v>
      </c>
      <c r="Q285">
        <v>1</v>
      </c>
      <c r="W285">
        <v>0</v>
      </c>
      <c r="X285">
        <v>756115135</v>
      </c>
      <c r="Y285">
        <f t="shared" si="120"/>
        <v>35.64</v>
      </c>
      <c r="AA285">
        <v>0</v>
      </c>
      <c r="AB285">
        <v>0</v>
      </c>
      <c r="AC285">
        <v>0</v>
      </c>
      <c r="AD285">
        <v>7.97</v>
      </c>
      <c r="AE285">
        <v>0</v>
      </c>
      <c r="AF285">
        <v>0</v>
      </c>
      <c r="AG285">
        <v>0</v>
      </c>
      <c r="AH285">
        <v>7.97</v>
      </c>
      <c r="AI285">
        <v>1</v>
      </c>
      <c r="AJ285">
        <v>1</v>
      </c>
      <c r="AK285">
        <v>1</v>
      </c>
      <c r="AL285">
        <v>1</v>
      </c>
      <c r="AM285">
        <v>-2</v>
      </c>
      <c r="AN285">
        <v>0</v>
      </c>
      <c r="AO285">
        <v>1</v>
      </c>
      <c r="AP285">
        <v>1</v>
      </c>
      <c r="AQ285">
        <v>0</v>
      </c>
      <c r="AR285">
        <v>0</v>
      </c>
      <c r="AS285" t="s">
        <v>3</v>
      </c>
      <c r="AT285">
        <v>35.64</v>
      </c>
      <c r="AU285" t="s">
        <v>3</v>
      </c>
      <c r="AV285">
        <v>1</v>
      </c>
      <c r="AW285">
        <v>2</v>
      </c>
      <c r="AX285">
        <v>94801566</v>
      </c>
      <c r="AY285">
        <v>1</v>
      </c>
      <c r="AZ285">
        <v>0</v>
      </c>
      <c r="BA285">
        <v>285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U285">
        <f>ROUND(AT285*Source!I323*AH285*AL285,2)</f>
        <v>28.41</v>
      </c>
      <c r="CV285">
        <f>ROUND(Y285*Source!I323,9)</f>
        <v>3.5640000000000001</v>
      </c>
      <c r="CW285">
        <v>0</v>
      </c>
      <c r="CX285">
        <f>ROUND(Y285*Source!I323,9)</f>
        <v>3.5640000000000001</v>
      </c>
      <c r="CY285">
        <f>AD285</f>
        <v>7.97</v>
      </c>
      <c r="CZ285">
        <f>AH285</f>
        <v>7.97</v>
      </c>
      <c r="DA285">
        <f>AL285</f>
        <v>1</v>
      </c>
      <c r="DB285">
        <f t="shared" si="121"/>
        <v>284.05</v>
      </c>
      <c r="DC285">
        <f t="shared" si="122"/>
        <v>0</v>
      </c>
      <c r="DD285" t="s">
        <v>3</v>
      </c>
      <c r="DE285" t="s">
        <v>3</v>
      </c>
      <c r="DF285">
        <f>ROUND(ROUND(AE285,2)*CX285,2)</f>
        <v>0</v>
      </c>
      <c r="DG285">
        <f t="shared" si="118"/>
        <v>0</v>
      </c>
      <c r="DH285">
        <f t="shared" si="119"/>
        <v>0</v>
      </c>
      <c r="DI285">
        <f t="shared" si="115"/>
        <v>28.41</v>
      </c>
      <c r="DJ285">
        <f>DI285</f>
        <v>28.41</v>
      </c>
      <c r="DK285">
        <v>0</v>
      </c>
      <c r="DL285" t="s">
        <v>3</v>
      </c>
      <c r="DM285">
        <v>0</v>
      </c>
      <c r="DN285" t="s">
        <v>3</v>
      </c>
      <c r="DO285">
        <v>0</v>
      </c>
    </row>
    <row r="286" spans="1:119" x14ac:dyDescent="0.2">
      <c r="A286">
        <f>ROW(Source!A323)</f>
        <v>323</v>
      </c>
      <c r="B286">
        <v>94798619</v>
      </c>
      <c r="C286">
        <v>94801565</v>
      </c>
      <c r="D286">
        <v>121548</v>
      </c>
      <c r="E286">
        <v>1</v>
      </c>
      <c r="F286">
        <v>1</v>
      </c>
      <c r="G286">
        <v>1</v>
      </c>
      <c r="H286">
        <v>1</v>
      </c>
      <c r="I286" t="s">
        <v>28</v>
      </c>
      <c r="J286" t="s">
        <v>3</v>
      </c>
      <c r="K286" t="s">
        <v>705</v>
      </c>
      <c r="L286">
        <v>608254</v>
      </c>
      <c r="N286">
        <v>1013</v>
      </c>
      <c r="O286" t="s">
        <v>706</v>
      </c>
      <c r="P286" t="s">
        <v>706</v>
      </c>
      <c r="Q286">
        <v>1</v>
      </c>
      <c r="W286">
        <v>0</v>
      </c>
      <c r="X286">
        <v>-185737400</v>
      </c>
      <c r="Y286">
        <f t="shared" si="120"/>
        <v>21.67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1</v>
      </c>
      <c r="AJ286">
        <v>1</v>
      </c>
      <c r="AK286">
        <v>1</v>
      </c>
      <c r="AL286">
        <v>1</v>
      </c>
      <c r="AM286">
        <v>-2</v>
      </c>
      <c r="AN286">
        <v>0</v>
      </c>
      <c r="AO286">
        <v>1</v>
      </c>
      <c r="AP286">
        <v>1</v>
      </c>
      <c r="AQ286">
        <v>0</v>
      </c>
      <c r="AR286">
        <v>0</v>
      </c>
      <c r="AS286" t="s">
        <v>3</v>
      </c>
      <c r="AT286">
        <v>21.67</v>
      </c>
      <c r="AU286" t="s">
        <v>3</v>
      </c>
      <c r="AV286">
        <v>2</v>
      </c>
      <c r="AW286">
        <v>2</v>
      </c>
      <c r="AX286">
        <v>94801567</v>
      </c>
      <c r="AY286">
        <v>1</v>
      </c>
      <c r="AZ286">
        <v>0</v>
      </c>
      <c r="BA286">
        <v>286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V286">
        <v>0</v>
      </c>
      <c r="CW286">
        <v>0</v>
      </c>
      <c r="CX286">
        <f>ROUND(Y286*Source!I323,9)</f>
        <v>2.1669999999999998</v>
      </c>
      <c r="CY286">
        <f>AD286</f>
        <v>0</v>
      </c>
      <c r="CZ286">
        <f>AH286</f>
        <v>0</v>
      </c>
      <c r="DA286">
        <f>AL286</f>
        <v>1</v>
      </c>
      <c r="DB286">
        <f t="shared" si="121"/>
        <v>0</v>
      </c>
      <c r="DC286">
        <f t="shared" si="122"/>
        <v>0</v>
      </c>
      <c r="DD286" t="s">
        <v>3</v>
      </c>
      <c r="DE286" t="s">
        <v>3</v>
      </c>
      <c r="DF286">
        <f>ROUND(ROUND(AE286,2)*CX286,2)</f>
        <v>0</v>
      </c>
      <c r="DG286">
        <f t="shared" si="118"/>
        <v>0</v>
      </c>
      <c r="DH286">
        <f t="shared" si="119"/>
        <v>0</v>
      </c>
      <c r="DI286">
        <f t="shared" si="115"/>
        <v>0</v>
      </c>
      <c r="DJ286">
        <f>DI286</f>
        <v>0</v>
      </c>
      <c r="DK286">
        <v>0</v>
      </c>
      <c r="DL286" t="s">
        <v>3</v>
      </c>
      <c r="DM286">
        <v>0</v>
      </c>
      <c r="DN286" t="s">
        <v>3</v>
      </c>
      <c r="DO286">
        <v>0</v>
      </c>
    </row>
    <row r="287" spans="1:119" x14ac:dyDescent="0.2">
      <c r="A287">
        <f>ROW(Source!A323)</f>
        <v>323</v>
      </c>
      <c r="B287">
        <v>94798619</v>
      </c>
      <c r="C287">
        <v>94801565</v>
      </c>
      <c r="D287">
        <v>37802953</v>
      </c>
      <c r="E287">
        <v>1</v>
      </c>
      <c r="F287">
        <v>1</v>
      </c>
      <c r="G287">
        <v>1</v>
      </c>
      <c r="H287">
        <v>2</v>
      </c>
      <c r="I287" t="s">
        <v>707</v>
      </c>
      <c r="J287" t="s">
        <v>708</v>
      </c>
      <c r="K287" t="s">
        <v>709</v>
      </c>
      <c r="L287">
        <v>1368</v>
      </c>
      <c r="N287">
        <v>1011</v>
      </c>
      <c r="O287" t="s">
        <v>700</v>
      </c>
      <c r="P287" t="s">
        <v>700</v>
      </c>
      <c r="Q287">
        <v>1</v>
      </c>
      <c r="W287">
        <v>0</v>
      </c>
      <c r="X287">
        <v>-1484005730</v>
      </c>
      <c r="Y287">
        <f t="shared" si="120"/>
        <v>10.74</v>
      </c>
      <c r="AA287">
        <v>0</v>
      </c>
      <c r="AB287">
        <v>1532.79</v>
      </c>
      <c r="AC287">
        <v>426.77</v>
      </c>
      <c r="AD287">
        <v>0</v>
      </c>
      <c r="AE287">
        <v>0</v>
      </c>
      <c r="AF287">
        <v>189</v>
      </c>
      <c r="AG287">
        <v>12.1</v>
      </c>
      <c r="AH287">
        <v>0</v>
      </c>
      <c r="AI287">
        <v>1</v>
      </c>
      <c r="AJ287">
        <v>8.11</v>
      </c>
      <c r="AK287">
        <v>35.270000000000003</v>
      </c>
      <c r="AL287">
        <v>1</v>
      </c>
      <c r="AM287">
        <v>2</v>
      </c>
      <c r="AN287">
        <v>0</v>
      </c>
      <c r="AO287">
        <v>1</v>
      </c>
      <c r="AP287">
        <v>1</v>
      </c>
      <c r="AQ287">
        <v>0</v>
      </c>
      <c r="AR287">
        <v>0</v>
      </c>
      <c r="AS287" t="s">
        <v>3</v>
      </c>
      <c r="AT287">
        <v>10.74</v>
      </c>
      <c r="AU287" t="s">
        <v>3</v>
      </c>
      <c r="AV287">
        <v>0</v>
      </c>
      <c r="AW287">
        <v>2</v>
      </c>
      <c r="AX287">
        <v>94801568</v>
      </c>
      <c r="AY287">
        <v>1</v>
      </c>
      <c r="AZ287">
        <v>0</v>
      </c>
      <c r="BA287">
        <v>287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V287">
        <v>0</v>
      </c>
      <c r="CW287">
        <f>ROUND(Y287*Source!I323*DO287,9)</f>
        <v>0</v>
      </c>
      <c r="CX287">
        <f>ROUND(Y287*Source!I323,9)</f>
        <v>1.0740000000000001</v>
      </c>
      <c r="CY287">
        <f>AB287</f>
        <v>1532.79</v>
      </c>
      <c r="CZ287">
        <f>AF287</f>
        <v>189</v>
      </c>
      <c r="DA287">
        <f>AJ287</f>
        <v>8.11</v>
      </c>
      <c r="DB287">
        <f t="shared" si="121"/>
        <v>2029.86</v>
      </c>
      <c r="DC287">
        <f t="shared" si="122"/>
        <v>129.94999999999999</v>
      </c>
      <c r="DD287" t="s">
        <v>3</v>
      </c>
      <c r="DE287" t="s">
        <v>3</v>
      </c>
      <c r="DF287">
        <f>ROUND(ROUND(AE287,2)*CX287,2)</f>
        <v>0</v>
      </c>
      <c r="DG287">
        <f>ROUND(ROUND(AF287*AJ287,2)*CX287,2)</f>
        <v>1646.22</v>
      </c>
      <c r="DH287">
        <f>ROUND(ROUND(AG287*AK287,2)*CX287,2)</f>
        <v>458.35</v>
      </c>
      <c r="DI287">
        <f t="shared" si="115"/>
        <v>0</v>
      </c>
      <c r="DJ287">
        <f>DG287</f>
        <v>1646.22</v>
      </c>
      <c r="DK287">
        <v>0</v>
      </c>
      <c r="DL287" t="s">
        <v>3</v>
      </c>
      <c r="DM287">
        <v>0</v>
      </c>
      <c r="DN287" t="s">
        <v>3</v>
      </c>
      <c r="DO287">
        <v>0</v>
      </c>
    </row>
    <row r="288" spans="1:119" x14ac:dyDescent="0.2">
      <c r="A288">
        <f>ROW(Source!A323)</f>
        <v>323</v>
      </c>
      <c r="B288">
        <v>94798619</v>
      </c>
      <c r="C288">
        <v>94801565</v>
      </c>
      <c r="D288">
        <v>37803498</v>
      </c>
      <c r="E288">
        <v>1</v>
      </c>
      <c r="F288">
        <v>1</v>
      </c>
      <c r="G288">
        <v>1</v>
      </c>
      <c r="H288">
        <v>2</v>
      </c>
      <c r="I288" t="s">
        <v>710</v>
      </c>
      <c r="J288" t="s">
        <v>711</v>
      </c>
      <c r="K288" t="s">
        <v>712</v>
      </c>
      <c r="L288">
        <v>1368</v>
      </c>
      <c r="N288">
        <v>1011</v>
      </c>
      <c r="O288" t="s">
        <v>700</v>
      </c>
      <c r="P288" t="s">
        <v>700</v>
      </c>
      <c r="Q288">
        <v>1</v>
      </c>
      <c r="W288">
        <v>0</v>
      </c>
      <c r="X288">
        <v>365905357</v>
      </c>
      <c r="Y288">
        <f t="shared" si="120"/>
        <v>10.93</v>
      </c>
      <c r="AA288">
        <v>0</v>
      </c>
      <c r="AB288">
        <v>2147.73</v>
      </c>
      <c r="AC288">
        <v>365.04</v>
      </c>
      <c r="AD288">
        <v>0</v>
      </c>
      <c r="AE288">
        <v>0</v>
      </c>
      <c r="AF288">
        <v>123.86</v>
      </c>
      <c r="AG288">
        <v>10.35</v>
      </c>
      <c r="AH288">
        <v>0</v>
      </c>
      <c r="AI288">
        <v>1</v>
      </c>
      <c r="AJ288">
        <v>17.34</v>
      </c>
      <c r="AK288">
        <v>35.270000000000003</v>
      </c>
      <c r="AL288">
        <v>1</v>
      </c>
      <c r="AM288">
        <v>2</v>
      </c>
      <c r="AN288">
        <v>0</v>
      </c>
      <c r="AO288">
        <v>1</v>
      </c>
      <c r="AP288">
        <v>1</v>
      </c>
      <c r="AQ288">
        <v>0</v>
      </c>
      <c r="AR288">
        <v>0</v>
      </c>
      <c r="AS288" t="s">
        <v>3</v>
      </c>
      <c r="AT288">
        <v>10.93</v>
      </c>
      <c r="AU288" t="s">
        <v>3</v>
      </c>
      <c r="AV288">
        <v>0</v>
      </c>
      <c r="AW288">
        <v>2</v>
      </c>
      <c r="AX288">
        <v>94801569</v>
      </c>
      <c r="AY288">
        <v>1</v>
      </c>
      <c r="AZ288">
        <v>0</v>
      </c>
      <c r="BA288">
        <v>288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V288">
        <v>0</v>
      </c>
      <c r="CW288">
        <f>ROUND(Y288*Source!I323*DO288,9)</f>
        <v>0</v>
      </c>
      <c r="CX288">
        <f>ROUND(Y288*Source!I323,9)</f>
        <v>1.093</v>
      </c>
      <c r="CY288">
        <f>AB288</f>
        <v>2147.73</v>
      </c>
      <c r="CZ288">
        <f>AF288</f>
        <v>123.86</v>
      </c>
      <c r="DA288">
        <f>AJ288</f>
        <v>17.34</v>
      </c>
      <c r="DB288">
        <f t="shared" si="121"/>
        <v>1353.79</v>
      </c>
      <c r="DC288">
        <f t="shared" si="122"/>
        <v>113.13</v>
      </c>
      <c r="DD288" t="s">
        <v>3</v>
      </c>
      <c r="DE288" t="s">
        <v>3</v>
      </c>
      <c r="DF288">
        <f>ROUND(ROUND(AE288,2)*CX288,2)</f>
        <v>0</v>
      </c>
      <c r="DG288">
        <f>ROUND(ROUND(AF288*AJ288,2)*CX288,2)</f>
        <v>2347.4699999999998</v>
      </c>
      <c r="DH288">
        <f>ROUND(ROUND(AG288*AK288,2)*CX288,2)</f>
        <v>398.99</v>
      </c>
      <c r="DI288">
        <f t="shared" si="115"/>
        <v>0</v>
      </c>
      <c r="DJ288">
        <f>DG288</f>
        <v>2347.4699999999998</v>
      </c>
      <c r="DK288">
        <v>0</v>
      </c>
      <c r="DL288" t="s">
        <v>3</v>
      </c>
      <c r="DM288">
        <v>0</v>
      </c>
      <c r="DN288" t="s">
        <v>3</v>
      </c>
      <c r="DO288">
        <v>0</v>
      </c>
    </row>
    <row r="289" spans="1:119" x14ac:dyDescent="0.2">
      <c r="A289">
        <f>ROW(Source!A323)</f>
        <v>323</v>
      </c>
      <c r="B289">
        <v>94798619</v>
      </c>
      <c r="C289">
        <v>94801565</v>
      </c>
      <c r="D289">
        <v>37804456</v>
      </c>
      <c r="E289">
        <v>1</v>
      </c>
      <c r="F289">
        <v>1</v>
      </c>
      <c r="G289">
        <v>1</v>
      </c>
      <c r="H289">
        <v>2</v>
      </c>
      <c r="I289" t="s">
        <v>713</v>
      </c>
      <c r="J289" t="s">
        <v>714</v>
      </c>
      <c r="K289" t="s">
        <v>715</v>
      </c>
      <c r="L289">
        <v>1368</v>
      </c>
      <c r="N289">
        <v>1011</v>
      </c>
      <c r="O289" t="s">
        <v>700</v>
      </c>
      <c r="P289" t="s">
        <v>700</v>
      </c>
      <c r="Q289">
        <v>1</v>
      </c>
      <c r="W289">
        <v>0</v>
      </c>
      <c r="X289">
        <v>-671646184</v>
      </c>
      <c r="Y289">
        <f t="shared" si="120"/>
        <v>0.81</v>
      </c>
      <c r="AA289">
        <v>0</v>
      </c>
      <c r="AB289">
        <v>1305.74</v>
      </c>
      <c r="AC289">
        <v>365.04</v>
      </c>
      <c r="AD289">
        <v>0</v>
      </c>
      <c r="AE289">
        <v>0</v>
      </c>
      <c r="AF289">
        <v>91.76</v>
      </c>
      <c r="AG289">
        <v>10.35</v>
      </c>
      <c r="AH289">
        <v>0</v>
      </c>
      <c r="AI289">
        <v>1</v>
      </c>
      <c r="AJ289">
        <v>14.23</v>
      </c>
      <c r="AK289">
        <v>35.270000000000003</v>
      </c>
      <c r="AL289">
        <v>1</v>
      </c>
      <c r="AM289">
        <v>2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3</v>
      </c>
      <c r="AT289">
        <v>0.81</v>
      </c>
      <c r="AU289" t="s">
        <v>3</v>
      </c>
      <c r="AV289">
        <v>0</v>
      </c>
      <c r="AW289">
        <v>2</v>
      </c>
      <c r="AX289">
        <v>94801570</v>
      </c>
      <c r="AY289">
        <v>1</v>
      </c>
      <c r="AZ289">
        <v>0</v>
      </c>
      <c r="BA289">
        <v>289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V289">
        <v>0</v>
      </c>
      <c r="CW289">
        <f>ROUND(Y289*Source!I323*DO289,9)</f>
        <v>0</v>
      </c>
      <c r="CX289">
        <f>ROUND(Y289*Source!I323,9)</f>
        <v>8.1000000000000003E-2</v>
      </c>
      <c r="CY289">
        <f>AB289</f>
        <v>1305.74</v>
      </c>
      <c r="CZ289">
        <f>AF289</f>
        <v>91.76</v>
      </c>
      <c r="DA289">
        <f>AJ289</f>
        <v>14.23</v>
      </c>
      <c r="DB289">
        <f t="shared" si="121"/>
        <v>74.33</v>
      </c>
      <c r="DC289">
        <f t="shared" si="122"/>
        <v>8.3800000000000008</v>
      </c>
      <c r="DD289" t="s">
        <v>3</v>
      </c>
      <c r="DE289" t="s">
        <v>3</v>
      </c>
      <c r="DF289">
        <f>ROUND(ROUND(AE289,2)*CX289,2)</f>
        <v>0</v>
      </c>
      <c r="DG289">
        <f>ROUND(ROUND(AF289*AJ289,2)*CX289,2)</f>
        <v>105.76</v>
      </c>
      <c r="DH289">
        <f>ROUND(ROUND(AG289*AK289,2)*CX289,2)</f>
        <v>29.57</v>
      </c>
      <c r="DI289">
        <f t="shared" si="115"/>
        <v>0</v>
      </c>
      <c r="DJ289">
        <f>DG289</f>
        <v>105.76</v>
      </c>
      <c r="DK289">
        <v>0</v>
      </c>
      <c r="DL289" t="s">
        <v>3</v>
      </c>
      <c r="DM289">
        <v>0</v>
      </c>
      <c r="DN289" t="s">
        <v>3</v>
      </c>
      <c r="DO289">
        <v>0</v>
      </c>
    </row>
    <row r="290" spans="1:119" x14ac:dyDescent="0.2">
      <c r="A290">
        <f>ROW(Source!A323)</f>
        <v>323</v>
      </c>
      <c r="B290">
        <v>94798619</v>
      </c>
      <c r="C290">
        <v>94801565</v>
      </c>
      <c r="D290">
        <v>37751670</v>
      </c>
      <c r="E290">
        <v>1</v>
      </c>
      <c r="F290">
        <v>1</v>
      </c>
      <c r="G290">
        <v>1</v>
      </c>
      <c r="H290">
        <v>3</v>
      </c>
      <c r="I290" t="s">
        <v>716</v>
      </c>
      <c r="J290" t="s">
        <v>717</v>
      </c>
      <c r="K290" t="s">
        <v>718</v>
      </c>
      <c r="L290">
        <v>1301</v>
      </c>
      <c r="N290">
        <v>1003</v>
      </c>
      <c r="O290" t="s">
        <v>368</v>
      </c>
      <c r="P290" t="s">
        <v>368</v>
      </c>
      <c r="Q290">
        <v>1</v>
      </c>
      <c r="W290">
        <v>0</v>
      </c>
      <c r="X290">
        <v>723599891</v>
      </c>
      <c r="Y290">
        <f t="shared" si="120"/>
        <v>55.9</v>
      </c>
      <c r="AA290">
        <v>43.74</v>
      </c>
      <c r="AB290">
        <v>0</v>
      </c>
      <c r="AC290">
        <v>0</v>
      </c>
      <c r="AD290">
        <v>0</v>
      </c>
      <c r="AE290">
        <v>4.2300000000000004</v>
      </c>
      <c r="AF290">
        <v>0</v>
      </c>
      <c r="AG290">
        <v>0</v>
      </c>
      <c r="AH290">
        <v>0</v>
      </c>
      <c r="AI290">
        <v>10.34</v>
      </c>
      <c r="AJ290">
        <v>1</v>
      </c>
      <c r="AK290">
        <v>1</v>
      </c>
      <c r="AL290">
        <v>1</v>
      </c>
      <c r="AM290">
        <v>2</v>
      </c>
      <c r="AN290">
        <v>0</v>
      </c>
      <c r="AO290">
        <v>1</v>
      </c>
      <c r="AP290">
        <v>1</v>
      </c>
      <c r="AQ290">
        <v>0</v>
      </c>
      <c r="AR290">
        <v>0</v>
      </c>
      <c r="AS290" t="s">
        <v>3</v>
      </c>
      <c r="AT290">
        <v>55.9</v>
      </c>
      <c r="AU290" t="s">
        <v>3</v>
      </c>
      <c r="AV290">
        <v>0</v>
      </c>
      <c r="AW290">
        <v>2</v>
      </c>
      <c r="AX290">
        <v>94801571</v>
      </c>
      <c r="AY290">
        <v>1</v>
      </c>
      <c r="AZ290">
        <v>0</v>
      </c>
      <c r="BA290">
        <v>290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V290">
        <v>0</v>
      </c>
      <c r="CW290">
        <v>0</v>
      </c>
      <c r="CX290">
        <f>ROUND(Y290*Source!I323,9)</f>
        <v>5.59</v>
      </c>
      <c r="CY290">
        <f>AA290</f>
        <v>43.74</v>
      </c>
      <c r="CZ290">
        <f>AE290</f>
        <v>4.2300000000000004</v>
      </c>
      <c r="DA290">
        <f>AI290</f>
        <v>10.34</v>
      </c>
      <c r="DB290">
        <f t="shared" si="121"/>
        <v>236.46</v>
      </c>
      <c r="DC290">
        <f t="shared" si="122"/>
        <v>0</v>
      </c>
      <c r="DD290" t="s">
        <v>3</v>
      </c>
      <c r="DE290" t="s">
        <v>3</v>
      </c>
      <c r="DF290">
        <f>ROUND(ROUND(AE290*AI290,2)*CX290,2)</f>
        <v>244.51</v>
      </c>
      <c r="DG290">
        <f>ROUND(ROUND(AF290,2)*CX290,2)</f>
        <v>0</v>
      </c>
      <c r="DH290">
        <f>ROUND(ROUND(AG290,2)*CX290,2)</f>
        <v>0</v>
      </c>
      <c r="DI290">
        <f t="shared" si="115"/>
        <v>0</v>
      </c>
      <c r="DJ290">
        <f>DF290</f>
        <v>244.51</v>
      </c>
      <c r="DK290">
        <v>0</v>
      </c>
      <c r="DL290" t="s">
        <v>3</v>
      </c>
      <c r="DM290">
        <v>0</v>
      </c>
      <c r="DN290" t="s">
        <v>3</v>
      </c>
      <c r="DO290">
        <v>0</v>
      </c>
    </row>
    <row r="291" spans="1:119" x14ac:dyDescent="0.2">
      <c r="A291">
        <f>ROW(Source!A323)</f>
        <v>323</v>
      </c>
      <c r="B291">
        <v>94798619</v>
      </c>
      <c r="C291">
        <v>94801565</v>
      </c>
      <c r="D291">
        <v>37751161</v>
      </c>
      <c r="E291">
        <v>1</v>
      </c>
      <c r="F291">
        <v>1</v>
      </c>
      <c r="G291">
        <v>1</v>
      </c>
      <c r="H291">
        <v>3</v>
      </c>
      <c r="I291" t="s">
        <v>45</v>
      </c>
      <c r="J291" t="s">
        <v>48</v>
      </c>
      <c r="K291" t="s">
        <v>46</v>
      </c>
      <c r="L291">
        <v>1354</v>
      </c>
      <c r="N291">
        <v>1010</v>
      </c>
      <c r="O291" t="s">
        <v>47</v>
      </c>
      <c r="P291" t="s">
        <v>47</v>
      </c>
      <c r="Q291">
        <v>1</v>
      </c>
      <c r="W291">
        <v>0</v>
      </c>
      <c r="X291">
        <v>-138700279</v>
      </c>
      <c r="Y291">
        <f t="shared" si="120"/>
        <v>100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1</v>
      </c>
      <c r="AJ291">
        <v>1</v>
      </c>
      <c r="AK291">
        <v>1</v>
      </c>
      <c r="AL291">
        <v>1</v>
      </c>
      <c r="AM291">
        <v>0</v>
      </c>
      <c r="AN291">
        <v>0</v>
      </c>
      <c r="AO291">
        <v>0</v>
      </c>
      <c r="AP291">
        <v>1</v>
      </c>
      <c r="AQ291">
        <v>0</v>
      </c>
      <c r="AR291">
        <v>0</v>
      </c>
      <c r="AS291" t="s">
        <v>3</v>
      </c>
      <c r="AT291">
        <v>100</v>
      </c>
      <c r="AU291" t="s">
        <v>3</v>
      </c>
      <c r="AV291">
        <v>0</v>
      </c>
      <c r="AW291">
        <v>2</v>
      </c>
      <c r="AX291">
        <v>94801572</v>
      </c>
      <c r="AY291">
        <v>1</v>
      </c>
      <c r="AZ291">
        <v>0</v>
      </c>
      <c r="BA291">
        <v>291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V291">
        <v>0</v>
      </c>
      <c r="CW291">
        <v>0</v>
      </c>
      <c r="CX291">
        <f>ROUND(Y291*Source!I323,9)</f>
        <v>10</v>
      </c>
      <c r="CY291">
        <f>AA291</f>
        <v>0</v>
      </c>
      <c r="CZ291">
        <f>AE291</f>
        <v>0</v>
      </c>
      <c r="DA291">
        <f>AI291</f>
        <v>1</v>
      </c>
      <c r="DB291">
        <f t="shared" si="121"/>
        <v>0</v>
      </c>
      <c r="DC291">
        <f t="shared" si="122"/>
        <v>0</v>
      </c>
      <c r="DD291" t="s">
        <v>3</v>
      </c>
      <c r="DE291" t="s">
        <v>3</v>
      </c>
      <c r="DF291">
        <f t="shared" ref="DF291:DF300" si="123">ROUND(ROUND(AE291,2)*CX291,2)</f>
        <v>0</v>
      </c>
      <c r="DG291">
        <f>ROUND(ROUND(AF291,2)*CX291,2)</f>
        <v>0</v>
      </c>
      <c r="DH291">
        <f>ROUND(ROUND(AG291,2)*CX291,2)</f>
        <v>0</v>
      </c>
      <c r="DI291">
        <f t="shared" si="115"/>
        <v>0</v>
      </c>
      <c r="DJ291">
        <f>DF291</f>
        <v>0</v>
      </c>
      <c r="DK291">
        <v>0</v>
      </c>
      <c r="DL291" t="s">
        <v>3</v>
      </c>
      <c r="DM291">
        <v>0</v>
      </c>
      <c r="DN291" t="s">
        <v>3</v>
      </c>
      <c r="DO291">
        <v>0</v>
      </c>
    </row>
    <row r="292" spans="1:119" x14ac:dyDescent="0.2">
      <c r="A292">
        <f>ROW(Source!A323)</f>
        <v>323</v>
      </c>
      <c r="B292">
        <v>94798619</v>
      </c>
      <c r="C292">
        <v>94801565</v>
      </c>
      <c r="D292">
        <v>37767799</v>
      </c>
      <c r="E292">
        <v>1</v>
      </c>
      <c r="F292">
        <v>1</v>
      </c>
      <c r="G292">
        <v>1</v>
      </c>
      <c r="H292">
        <v>3</v>
      </c>
      <c r="I292" t="s">
        <v>50</v>
      </c>
      <c r="J292" t="s">
        <v>53</v>
      </c>
      <c r="K292" t="s">
        <v>51</v>
      </c>
      <c r="L292">
        <v>1339</v>
      </c>
      <c r="N292">
        <v>1007</v>
      </c>
      <c r="O292" t="s">
        <v>52</v>
      </c>
      <c r="P292" t="s">
        <v>52</v>
      </c>
      <c r="Q292">
        <v>1</v>
      </c>
      <c r="W292">
        <v>0</v>
      </c>
      <c r="X292">
        <v>-255290429</v>
      </c>
      <c r="Y292">
        <f t="shared" si="120"/>
        <v>6.34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1</v>
      </c>
      <c r="AL292">
        <v>1</v>
      </c>
      <c r="AM292">
        <v>0</v>
      </c>
      <c r="AN292">
        <v>0</v>
      </c>
      <c r="AO292">
        <v>0</v>
      </c>
      <c r="AP292">
        <v>1</v>
      </c>
      <c r="AQ292">
        <v>0</v>
      </c>
      <c r="AR292">
        <v>0</v>
      </c>
      <c r="AS292" t="s">
        <v>3</v>
      </c>
      <c r="AT292">
        <v>6.34</v>
      </c>
      <c r="AU292" t="s">
        <v>3</v>
      </c>
      <c r="AV292">
        <v>0</v>
      </c>
      <c r="AW292">
        <v>2</v>
      </c>
      <c r="AX292">
        <v>94801573</v>
      </c>
      <c r="AY292">
        <v>1</v>
      </c>
      <c r="AZ292">
        <v>0</v>
      </c>
      <c r="BA292">
        <v>292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V292">
        <v>0</v>
      </c>
      <c r="CW292">
        <v>0</v>
      </c>
      <c r="CX292">
        <f>ROUND(Y292*Source!I323,9)</f>
        <v>0.63400000000000001</v>
      </c>
      <c r="CY292">
        <f>AA292</f>
        <v>0</v>
      </c>
      <c r="CZ292">
        <f>AE292</f>
        <v>0</v>
      </c>
      <c r="DA292">
        <f>AI292</f>
        <v>1</v>
      </c>
      <c r="DB292">
        <f t="shared" si="121"/>
        <v>0</v>
      </c>
      <c r="DC292">
        <f t="shared" si="122"/>
        <v>0</v>
      </c>
      <c r="DD292" t="s">
        <v>3</v>
      </c>
      <c r="DE292" t="s">
        <v>3</v>
      </c>
      <c r="DF292">
        <f t="shared" si="123"/>
        <v>0</v>
      </c>
      <c r="DG292">
        <f>ROUND(ROUND(AF292,2)*CX292,2)</f>
        <v>0</v>
      </c>
      <c r="DH292">
        <f>ROUND(ROUND(AG292,2)*CX292,2)</f>
        <v>0</v>
      </c>
      <c r="DI292">
        <f t="shared" si="115"/>
        <v>0</v>
      </c>
      <c r="DJ292">
        <f>DF292</f>
        <v>0</v>
      </c>
      <c r="DK292">
        <v>0</v>
      </c>
      <c r="DL292" t="s">
        <v>3</v>
      </c>
      <c r="DM292">
        <v>0</v>
      </c>
      <c r="DN292" t="s">
        <v>3</v>
      </c>
      <c r="DO292">
        <v>0</v>
      </c>
    </row>
    <row r="293" spans="1:119" x14ac:dyDescent="0.2">
      <c r="A293">
        <f>ROW(Source!A328)</f>
        <v>328</v>
      </c>
      <c r="B293">
        <v>94798619</v>
      </c>
      <c r="C293">
        <v>94801576</v>
      </c>
      <c r="D293">
        <v>23134955</v>
      </c>
      <c r="E293">
        <v>1</v>
      </c>
      <c r="F293">
        <v>1</v>
      </c>
      <c r="G293">
        <v>1</v>
      </c>
      <c r="H293">
        <v>1</v>
      </c>
      <c r="I293" t="s">
        <v>772</v>
      </c>
      <c r="J293" t="s">
        <v>3</v>
      </c>
      <c r="K293" t="s">
        <v>773</v>
      </c>
      <c r="L293">
        <v>1369</v>
      </c>
      <c r="N293">
        <v>1013</v>
      </c>
      <c r="O293" t="s">
        <v>696</v>
      </c>
      <c r="P293" t="s">
        <v>696</v>
      </c>
      <c r="Q293">
        <v>1</v>
      </c>
      <c r="W293">
        <v>0</v>
      </c>
      <c r="X293">
        <v>-1698459243</v>
      </c>
      <c r="Y293">
        <f t="shared" si="120"/>
        <v>15.79</v>
      </c>
      <c r="AA293">
        <v>0</v>
      </c>
      <c r="AB293">
        <v>0</v>
      </c>
      <c r="AC293">
        <v>0</v>
      </c>
      <c r="AD293">
        <v>8.17</v>
      </c>
      <c r="AE293">
        <v>0</v>
      </c>
      <c r="AF293">
        <v>0</v>
      </c>
      <c r="AG293">
        <v>0</v>
      </c>
      <c r="AH293">
        <v>8.17</v>
      </c>
      <c r="AI293">
        <v>1</v>
      </c>
      <c r="AJ293">
        <v>1</v>
      </c>
      <c r="AK293">
        <v>1</v>
      </c>
      <c r="AL293">
        <v>1</v>
      </c>
      <c r="AM293">
        <v>-2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3</v>
      </c>
      <c r="AT293">
        <v>15.79</v>
      </c>
      <c r="AU293" t="s">
        <v>3</v>
      </c>
      <c r="AV293">
        <v>1</v>
      </c>
      <c r="AW293">
        <v>2</v>
      </c>
      <c r="AX293">
        <v>94801668</v>
      </c>
      <c r="AY293">
        <v>1</v>
      </c>
      <c r="AZ293">
        <v>0</v>
      </c>
      <c r="BA293">
        <v>293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U293">
        <f>ROUND(AT293*Source!I328*AH293*AL293,2)</f>
        <v>37.57</v>
      </c>
      <c r="CV293">
        <f>ROUND(Y293*Source!I328,9)</f>
        <v>4.5980480000000004</v>
      </c>
      <c r="CW293">
        <v>0</v>
      </c>
      <c r="CX293">
        <f>ROUND(Y293*Source!I328,9)</f>
        <v>4.5980480000000004</v>
      </c>
      <c r="CY293">
        <f>AD293</f>
        <v>8.17</v>
      </c>
      <c r="CZ293">
        <f>AH293</f>
        <v>8.17</v>
      </c>
      <c r="DA293">
        <f>AL293</f>
        <v>1</v>
      </c>
      <c r="DB293">
        <f t="shared" si="121"/>
        <v>129</v>
      </c>
      <c r="DC293">
        <f t="shared" si="122"/>
        <v>0</v>
      </c>
      <c r="DD293" t="s">
        <v>3</v>
      </c>
      <c r="DE293" t="s">
        <v>3</v>
      </c>
      <c r="DF293">
        <f t="shared" si="123"/>
        <v>0</v>
      </c>
      <c r="DG293">
        <f>ROUND(ROUND(AF293,2)*CX293,2)</f>
        <v>0</v>
      </c>
      <c r="DH293">
        <f>ROUND(ROUND(AG293,2)*CX293,2)</f>
        <v>0</v>
      </c>
      <c r="DI293">
        <f t="shared" si="115"/>
        <v>37.57</v>
      </c>
      <c r="DJ293">
        <f>DI293</f>
        <v>37.57</v>
      </c>
      <c r="DK293">
        <v>0</v>
      </c>
      <c r="DL293" t="s">
        <v>3</v>
      </c>
      <c r="DM293">
        <v>0</v>
      </c>
      <c r="DN293" t="s">
        <v>3</v>
      </c>
      <c r="DO293">
        <v>0</v>
      </c>
    </row>
    <row r="294" spans="1:119" x14ac:dyDescent="0.2">
      <c r="A294">
        <f>ROW(Source!A328)</f>
        <v>328</v>
      </c>
      <c r="B294">
        <v>94798619</v>
      </c>
      <c r="C294">
        <v>94801576</v>
      </c>
      <c r="D294">
        <v>121548</v>
      </c>
      <c r="E294">
        <v>1</v>
      </c>
      <c r="F294">
        <v>1</v>
      </c>
      <c r="G294">
        <v>1</v>
      </c>
      <c r="H294">
        <v>1</v>
      </c>
      <c r="I294" t="s">
        <v>28</v>
      </c>
      <c r="J294" t="s">
        <v>3</v>
      </c>
      <c r="K294" t="s">
        <v>705</v>
      </c>
      <c r="L294">
        <v>608254</v>
      </c>
      <c r="N294">
        <v>1013</v>
      </c>
      <c r="O294" t="s">
        <v>706</v>
      </c>
      <c r="P294" t="s">
        <v>706</v>
      </c>
      <c r="Q294">
        <v>1</v>
      </c>
      <c r="W294">
        <v>0</v>
      </c>
      <c r="X294">
        <v>-185737400</v>
      </c>
      <c r="Y294">
        <f t="shared" si="120"/>
        <v>1.56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1</v>
      </c>
      <c r="AJ294">
        <v>1</v>
      </c>
      <c r="AK294">
        <v>1</v>
      </c>
      <c r="AL294">
        <v>1</v>
      </c>
      <c r="AM294">
        <v>-2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3</v>
      </c>
      <c r="AT294">
        <v>1.56</v>
      </c>
      <c r="AU294" t="s">
        <v>3</v>
      </c>
      <c r="AV294">
        <v>2</v>
      </c>
      <c r="AW294">
        <v>2</v>
      </c>
      <c r="AX294">
        <v>94801669</v>
      </c>
      <c r="AY294">
        <v>1</v>
      </c>
      <c r="AZ294">
        <v>0</v>
      </c>
      <c r="BA294">
        <v>294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V294">
        <v>0</v>
      </c>
      <c r="CW294">
        <v>0</v>
      </c>
      <c r="CX294">
        <f>ROUND(Y294*Source!I328,9)</f>
        <v>0.45427200000000001</v>
      </c>
      <c r="CY294">
        <f>AD294</f>
        <v>0</v>
      </c>
      <c r="CZ294">
        <f>AH294</f>
        <v>0</v>
      </c>
      <c r="DA294">
        <f>AL294</f>
        <v>1</v>
      </c>
      <c r="DB294">
        <f t="shared" si="121"/>
        <v>0</v>
      </c>
      <c r="DC294">
        <f t="shared" si="122"/>
        <v>0</v>
      </c>
      <c r="DD294" t="s">
        <v>3</v>
      </c>
      <c r="DE294" t="s">
        <v>3</v>
      </c>
      <c r="DF294">
        <f t="shared" si="123"/>
        <v>0</v>
      </c>
      <c r="DG294">
        <f>ROUND(ROUND(AF294,2)*CX294,2)</f>
        <v>0</v>
      </c>
      <c r="DH294">
        <f>ROUND(ROUND(AG294,2)*CX294,2)</f>
        <v>0</v>
      </c>
      <c r="DI294">
        <f t="shared" si="115"/>
        <v>0</v>
      </c>
      <c r="DJ294">
        <f>DI294</f>
        <v>0</v>
      </c>
      <c r="DK294">
        <v>0</v>
      </c>
      <c r="DL294" t="s">
        <v>3</v>
      </c>
      <c r="DM294">
        <v>0</v>
      </c>
      <c r="DN294" t="s">
        <v>3</v>
      </c>
      <c r="DO294">
        <v>0</v>
      </c>
    </row>
    <row r="295" spans="1:119" x14ac:dyDescent="0.2">
      <c r="A295">
        <f>ROW(Source!A328)</f>
        <v>328</v>
      </c>
      <c r="B295">
        <v>94798619</v>
      </c>
      <c r="C295">
        <v>94801576</v>
      </c>
      <c r="D295">
        <v>37802375</v>
      </c>
      <c r="E295">
        <v>1</v>
      </c>
      <c r="F295">
        <v>1</v>
      </c>
      <c r="G295">
        <v>1</v>
      </c>
      <c r="H295">
        <v>2</v>
      </c>
      <c r="I295" t="s">
        <v>821</v>
      </c>
      <c r="J295" t="s">
        <v>822</v>
      </c>
      <c r="K295" t="s">
        <v>823</v>
      </c>
      <c r="L295">
        <v>1368</v>
      </c>
      <c r="N295">
        <v>1011</v>
      </c>
      <c r="O295" t="s">
        <v>700</v>
      </c>
      <c r="P295" t="s">
        <v>700</v>
      </c>
      <c r="Q295">
        <v>1</v>
      </c>
      <c r="W295">
        <v>0</v>
      </c>
      <c r="X295">
        <v>1827899330</v>
      </c>
      <c r="Y295">
        <f t="shared" si="120"/>
        <v>0.1</v>
      </c>
      <c r="AA295">
        <v>0</v>
      </c>
      <c r="AB295">
        <v>1791.92</v>
      </c>
      <c r="AC295">
        <v>486.02</v>
      </c>
      <c r="AD295">
        <v>0</v>
      </c>
      <c r="AE295">
        <v>0</v>
      </c>
      <c r="AF295">
        <v>159.85</v>
      </c>
      <c r="AG295">
        <v>13.78</v>
      </c>
      <c r="AH295">
        <v>0</v>
      </c>
      <c r="AI295">
        <v>1</v>
      </c>
      <c r="AJ295">
        <v>11.21</v>
      </c>
      <c r="AK295">
        <v>35.270000000000003</v>
      </c>
      <c r="AL295">
        <v>1</v>
      </c>
      <c r="AM295">
        <v>2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3</v>
      </c>
      <c r="AT295">
        <v>0.1</v>
      </c>
      <c r="AU295" t="s">
        <v>3</v>
      </c>
      <c r="AV295">
        <v>0</v>
      </c>
      <c r="AW295">
        <v>2</v>
      </c>
      <c r="AX295">
        <v>94801670</v>
      </c>
      <c r="AY295">
        <v>1</v>
      </c>
      <c r="AZ295">
        <v>0</v>
      </c>
      <c r="BA295">
        <v>295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V295">
        <v>0</v>
      </c>
      <c r="CW295">
        <f>ROUND(Y295*Source!I328*DO295,9)</f>
        <v>0</v>
      </c>
      <c r="CX295">
        <f>ROUND(Y295*Source!I328,9)</f>
        <v>2.912E-2</v>
      </c>
      <c r="CY295">
        <f t="shared" ref="CY295:CY300" si="124">AB295</f>
        <v>1791.92</v>
      </c>
      <c r="CZ295">
        <f t="shared" ref="CZ295:CZ300" si="125">AF295</f>
        <v>159.85</v>
      </c>
      <c r="DA295">
        <f t="shared" ref="DA295:DA300" si="126">AJ295</f>
        <v>11.21</v>
      </c>
      <c r="DB295">
        <f t="shared" si="121"/>
        <v>15.99</v>
      </c>
      <c r="DC295">
        <f t="shared" si="122"/>
        <v>1.38</v>
      </c>
      <c r="DD295" t="s">
        <v>3</v>
      </c>
      <c r="DE295" t="s">
        <v>3</v>
      </c>
      <c r="DF295">
        <f t="shared" si="123"/>
        <v>0</v>
      </c>
      <c r="DG295">
        <f t="shared" ref="DG295:DG300" si="127">ROUND(ROUND(AF295*AJ295,2)*CX295,2)</f>
        <v>52.18</v>
      </c>
      <c r="DH295">
        <f t="shared" ref="DH295:DH300" si="128">ROUND(ROUND(AG295*AK295,2)*CX295,2)</f>
        <v>14.15</v>
      </c>
      <c r="DI295">
        <f t="shared" si="115"/>
        <v>0</v>
      </c>
      <c r="DJ295">
        <f t="shared" ref="DJ295:DJ300" si="129">DG295</f>
        <v>52.18</v>
      </c>
      <c r="DK295">
        <v>0</v>
      </c>
      <c r="DL295" t="s">
        <v>3</v>
      </c>
      <c r="DM295">
        <v>0</v>
      </c>
      <c r="DN295" t="s">
        <v>3</v>
      </c>
      <c r="DO295">
        <v>0</v>
      </c>
    </row>
    <row r="296" spans="1:119" x14ac:dyDescent="0.2">
      <c r="A296">
        <f>ROW(Source!A328)</f>
        <v>328</v>
      </c>
      <c r="B296">
        <v>94798619</v>
      </c>
      <c r="C296">
        <v>94801576</v>
      </c>
      <c r="D296">
        <v>37802443</v>
      </c>
      <c r="E296">
        <v>1</v>
      </c>
      <c r="F296">
        <v>1</v>
      </c>
      <c r="G296">
        <v>1</v>
      </c>
      <c r="H296">
        <v>2</v>
      </c>
      <c r="I296" t="s">
        <v>721</v>
      </c>
      <c r="J296" t="s">
        <v>722</v>
      </c>
      <c r="K296" t="s">
        <v>723</v>
      </c>
      <c r="L296">
        <v>1368</v>
      </c>
      <c r="N296">
        <v>1011</v>
      </c>
      <c r="O296" t="s">
        <v>700</v>
      </c>
      <c r="P296" t="s">
        <v>700</v>
      </c>
      <c r="Q296">
        <v>1</v>
      </c>
      <c r="W296">
        <v>0</v>
      </c>
      <c r="X296">
        <v>1447433125</v>
      </c>
      <c r="Y296">
        <f t="shared" si="120"/>
        <v>0.13</v>
      </c>
      <c r="AA296">
        <v>0</v>
      </c>
      <c r="AB296">
        <v>1453.68</v>
      </c>
      <c r="AC296">
        <v>426.77</v>
      </c>
      <c r="AD296">
        <v>0</v>
      </c>
      <c r="AE296">
        <v>0</v>
      </c>
      <c r="AF296">
        <v>124.14</v>
      </c>
      <c r="AG296">
        <v>12.1</v>
      </c>
      <c r="AH296">
        <v>0</v>
      </c>
      <c r="AI296">
        <v>1</v>
      </c>
      <c r="AJ296">
        <v>11.71</v>
      </c>
      <c r="AK296">
        <v>35.270000000000003</v>
      </c>
      <c r="AL296">
        <v>1</v>
      </c>
      <c r="AM296">
        <v>2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3</v>
      </c>
      <c r="AT296">
        <v>0.13</v>
      </c>
      <c r="AU296" t="s">
        <v>3</v>
      </c>
      <c r="AV296">
        <v>0</v>
      </c>
      <c r="AW296">
        <v>2</v>
      </c>
      <c r="AX296">
        <v>94801671</v>
      </c>
      <c r="AY296">
        <v>1</v>
      </c>
      <c r="AZ296">
        <v>0</v>
      </c>
      <c r="BA296">
        <v>296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V296">
        <v>0</v>
      </c>
      <c r="CW296">
        <f>ROUND(Y296*Source!I328*DO296,9)</f>
        <v>0</v>
      </c>
      <c r="CX296">
        <f>ROUND(Y296*Source!I328,9)</f>
        <v>3.7856000000000001E-2</v>
      </c>
      <c r="CY296">
        <f t="shared" si="124"/>
        <v>1453.68</v>
      </c>
      <c r="CZ296">
        <f t="shared" si="125"/>
        <v>124.14</v>
      </c>
      <c r="DA296">
        <f t="shared" si="126"/>
        <v>11.71</v>
      </c>
      <c r="DB296">
        <f t="shared" si="121"/>
        <v>16.14</v>
      </c>
      <c r="DC296">
        <f t="shared" si="122"/>
        <v>1.57</v>
      </c>
      <c r="DD296" t="s">
        <v>3</v>
      </c>
      <c r="DE296" t="s">
        <v>3</v>
      </c>
      <c r="DF296">
        <f t="shared" si="123"/>
        <v>0</v>
      </c>
      <c r="DG296">
        <f t="shared" si="127"/>
        <v>55.03</v>
      </c>
      <c r="DH296">
        <f t="shared" si="128"/>
        <v>16.16</v>
      </c>
      <c r="DI296">
        <f t="shared" si="115"/>
        <v>0</v>
      </c>
      <c r="DJ296">
        <f t="shared" si="129"/>
        <v>55.03</v>
      </c>
      <c r="DK296">
        <v>0</v>
      </c>
      <c r="DL296" t="s">
        <v>3</v>
      </c>
      <c r="DM296">
        <v>0</v>
      </c>
      <c r="DN296" t="s">
        <v>3</v>
      </c>
      <c r="DO296">
        <v>0</v>
      </c>
    </row>
    <row r="297" spans="1:119" x14ac:dyDescent="0.2">
      <c r="A297">
        <f>ROW(Source!A328)</f>
        <v>328</v>
      </c>
      <c r="B297">
        <v>94798619</v>
      </c>
      <c r="C297">
        <v>94801576</v>
      </c>
      <c r="D297">
        <v>37802465</v>
      </c>
      <c r="E297">
        <v>1</v>
      </c>
      <c r="F297">
        <v>1</v>
      </c>
      <c r="G297">
        <v>1</v>
      </c>
      <c r="H297">
        <v>2</v>
      </c>
      <c r="I297" t="s">
        <v>920</v>
      </c>
      <c r="J297" t="s">
        <v>921</v>
      </c>
      <c r="K297" t="s">
        <v>922</v>
      </c>
      <c r="L297">
        <v>1368</v>
      </c>
      <c r="N297">
        <v>1011</v>
      </c>
      <c r="O297" t="s">
        <v>700</v>
      </c>
      <c r="P297" t="s">
        <v>700</v>
      </c>
      <c r="Q297">
        <v>1</v>
      </c>
      <c r="W297">
        <v>0</v>
      </c>
      <c r="X297">
        <v>-634994428</v>
      </c>
      <c r="Y297">
        <f t="shared" si="120"/>
        <v>1.33</v>
      </c>
      <c r="AA297">
        <v>0</v>
      </c>
      <c r="AB297">
        <v>2397.4899999999998</v>
      </c>
      <c r="AC297">
        <v>454.98</v>
      </c>
      <c r="AD297">
        <v>0</v>
      </c>
      <c r="AE297">
        <v>0</v>
      </c>
      <c r="AF297">
        <v>187.45</v>
      </c>
      <c r="AG297">
        <v>12.9</v>
      </c>
      <c r="AH297">
        <v>0</v>
      </c>
      <c r="AI297">
        <v>1</v>
      </c>
      <c r="AJ297">
        <v>12.79</v>
      </c>
      <c r="AK297">
        <v>35.270000000000003</v>
      </c>
      <c r="AL297">
        <v>1</v>
      </c>
      <c r="AM297">
        <v>2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3</v>
      </c>
      <c r="AT297">
        <v>1.33</v>
      </c>
      <c r="AU297" t="s">
        <v>3</v>
      </c>
      <c r="AV297">
        <v>0</v>
      </c>
      <c r="AW297">
        <v>2</v>
      </c>
      <c r="AX297">
        <v>94801672</v>
      </c>
      <c r="AY297">
        <v>1</v>
      </c>
      <c r="AZ297">
        <v>0</v>
      </c>
      <c r="BA297">
        <v>297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V297">
        <v>0</v>
      </c>
      <c r="CW297">
        <f>ROUND(Y297*Source!I328*DO297,9)</f>
        <v>0</v>
      </c>
      <c r="CX297">
        <f>ROUND(Y297*Source!I328,9)</f>
        <v>0.38729599999999997</v>
      </c>
      <c r="CY297">
        <f t="shared" si="124"/>
        <v>2397.4899999999998</v>
      </c>
      <c r="CZ297">
        <f t="shared" si="125"/>
        <v>187.45</v>
      </c>
      <c r="DA297">
        <f t="shared" si="126"/>
        <v>12.79</v>
      </c>
      <c r="DB297">
        <f t="shared" si="121"/>
        <v>249.31</v>
      </c>
      <c r="DC297">
        <f t="shared" si="122"/>
        <v>17.16</v>
      </c>
      <c r="DD297" t="s">
        <v>3</v>
      </c>
      <c r="DE297" t="s">
        <v>3</v>
      </c>
      <c r="DF297">
        <f t="shared" si="123"/>
        <v>0</v>
      </c>
      <c r="DG297">
        <f t="shared" si="127"/>
        <v>928.54</v>
      </c>
      <c r="DH297">
        <f t="shared" si="128"/>
        <v>176.21</v>
      </c>
      <c r="DI297">
        <f t="shared" si="115"/>
        <v>0</v>
      </c>
      <c r="DJ297">
        <f t="shared" si="129"/>
        <v>928.54</v>
      </c>
      <c r="DK297">
        <v>0</v>
      </c>
      <c r="DL297" t="s">
        <v>3</v>
      </c>
      <c r="DM297">
        <v>0</v>
      </c>
      <c r="DN297" t="s">
        <v>3</v>
      </c>
      <c r="DO297">
        <v>0</v>
      </c>
    </row>
    <row r="298" spans="1:119" x14ac:dyDescent="0.2">
      <c r="A298">
        <f>ROW(Source!A328)</f>
        <v>328</v>
      </c>
      <c r="B298">
        <v>94798619</v>
      </c>
      <c r="C298">
        <v>94801576</v>
      </c>
      <c r="D298">
        <v>37802659</v>
      </c>
      <c r="E298">
        <v>1</v>
      </c>
      <c r="F298">
        <v>1</v>
      </c>
      <c r="G298">
        <v>1</v>
      </c>
      <c r="H298">
        <v>2</v>
      </c>
      <c r="I298" t="s">
        <v>777</v>
      </c>
      <c r="J298" t="s">
        <v>778</v>
      </c>
      <c r="K298" t="s">
        <v>779</v>
      </c>
      <c r="L298">
        <v>1368</v>
      </c>
      <c r="N298">
        <v>1011</v>
      </c>
      <c r="O298" t="s">
        <v>700</v>
      </c>
      <c r="P298" t="s">
        <v>700</v>
      </c>
      <c r="Q298">
        <v>1</v>
      </c>
      <c r="W298">
        <v>0</v>
      </c>
      <c r="X298">
        <v>4083802</v>
      </c>
      <c r="Y298">
        <f t="shared" si="120"/>
        <v>0.67</v>
      </c>
      <c r="AA298">
        <v>0</v>
      </c>
      <c r="AB298">
        <v>9.35</v>
      </c>
      <c r="AC298">
        <v>0</v>
      </c>
      <c r="AD298">
        <v>0</v>
      </c>
      <c r="AE298">
        <v>0</v>
      </c>
      <c r="AF298">
        <v>1.43</v>
      </c>
      <c r="AG298">
        <v>0</v>
      </c>
      <c r="AH298">
        <v>0</v>
      </c>
      <c r="AI298">
        <v>1</v>
      </c>
      <c r="AJ298">
        <v>6.54</v>
      </c>
      <c r="AK298">
        <v>35.270000000000003</v>
      </c>
      <c r="AL298">
        <v>1</v>
      </c>
      <c r="AM298">
        <v>2</v>
      </c>
      <c r="AN298">
        <v>0</v>
      </c>
      <c r="AO298">
        <v>1</v>
      </c>
      <c r="AP298">
        <v>1</v>
      </c>
      <c r="AQ298">
        <v>0</v>
      </c>
      <c r="AR298">
        <v>0</v>
      </c>
      <c r="AS298" t="s">
        <v>3</v>
      </c>
      <c r="AT298">
        <v>0.67</v>
      </c>
      <c r="AU298" t="s">
        <v>3</v>
      </c>
      <c r="AV298">
        <v>0</v>
      </c>
      <c r="AW298">
        <v>2</v>
      </c>
      <c r="AX298">
        <v>94801673</v>
      </c>
      <c r="AY298">
        <v>1</v>
      </c>
      <c r="AZ298">
        <v>0</v>
      </c>
      <c r="BA298">
        <v>298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V298">
        <v>0</v>
      </c>
      <c r="CW298">
        <f>ROUND(Y298*Source!I328*DO298,9)</f>
        <v>0</v>
      </c>
      <c r="CX298">
        <f>ROUND(Y298*Source!I328,9)</f>
        <v>0.195104</v>
      </c>
      <c r="CY298">
        <f t="shared" si="124"/>
        <v>9.35</v>
      </c>
      <c r="CZ298">
        <f t="shared" si="125"/>
        <v>1.43</v>
      </c>
      <c r="DA298">
        <f t="shared" si="126"/>
        <v>6.54</v>
      </c>
      <c r="DB298">
        <f t="shared" si="121"/>
        <v>0.96</v>
      </c>
      <c r="DC298">
        <f t="shared" si="122"/>
        <v>0</v>
      </c>
      <c r="DD298" t="s">
        <v>3</v>
      </c>
      <c r="DE298" t="s">
        <v>3</v>
      </c>
      <c r="DF298">
        <f t="shared" si="123"/>
        <v>0</v>
      </c>
      <c r="DG298">
        <f t="shared" si="127"/>
        <v>1.82</v>
      </c>
      <c r="DH298">
        <f t="shared" si="128"/>
        <v>0</v>
      </c>
      <c r="DI298">
        <f t="shared" si="115"/>
        <v>0</v>
      </c>
      <c r="DJ298">
        <f t="shared" si="129"/>
        <v>1.82</v>
      </c>
      <c r="DK298">
        <v>0</v>
      </c>
      <c r="DL298" t="s">
        <v>3</v>
      </c>
      <c r="DM298">
        <v>0</v>
      </c>
      <c r="DN298" t="s">
        <v>3</v>
      </c>
      <c r="DO298">
        <v>0</v>
      </c>
    </row>
    <row r="299" spans="1:119" x14ac:dyDescent="0.2">
      <c r="A299">
        <f>ROW(Source!A328)</f>
        <v>328</v>
      </c>
      <c r="B299">
        <v>94798619</v>
      </c>
      <c r="C299">
        <v>94801576</v>
      </c>
      <c r="D299">
        <v>37802669</v>
      </c>
      <c r="E299">
        <v>1</v>
      </c>
      <c r="F299">
        <v>1</v>
      </c>
      <c r="G299">
        <v>1</v>
      </c>
      <c r="H299">
        <v>2</v>
      </c>
      <c r="I299" t="s">
        <v>833</v>
      </c>
      <c r="J299" t="s">
        <v>834</v>
      </c>
      <c r="K299" t="s">
        <v>835</v>
      </c>
      <c r="L299">
        <v>1368</v>
      </c>
      <c r="N299">
        <v>1011</v>
      </c>
      <c r="O299" t="s">
        <v>700</v>
      </c>
      <c r="P299" t="s">
        <v>700</v>
      </c>
      <c r="Q299">
        <v>1</v>
      </c>
      <c r="W299">
        <v>0</v>
      </c>
      <c r="X299">
        <v>1565869296</v>
      </c>
      <c r="Y299">
        <f t="shared" si="120"/>
        <v>0.57999999999999996</v>
      </c>
      <c r="AA299">
        <v>0</v>
      </c>
      <c r="AB299">
        <v>116.79</v>
      </c>
      <c r="AC299">
        <v>0</v>
      </c>
      <c r="AD299">
        <v>0</v>
      </c>
      <c r="AE299">
        <v>0</v>
      </c>
      <c r="AF299">
        <v>9.6999999999999993</v>
      </c>
      <c r="AG299">
        <v>0</v>
      </c>
      <c r="AH299">
        <v>0</v>
      </c>
      <c r="AI299">
        <v>1</v>
      </c>
      <c r="AJ299">
        <v>12.04</v>
      </c>
      <c r="AK299">
        <v>35.270000000000003</v>
      </c>
      <c r="AL299">
        <v>1</v>
      </c>
      <c r="AM299">
        <v>2</v>
      </c>
      <c r="AN299">
        <v>0</v>
      </c>
      <c r="AO299">
        <v>1</v>
      </c>
      <c r="AP299">
        <v>1</v>
      </c>
      <c r="AQ299">
        <v>0</v>
      </c>
      <c r="AR299">
        <v>0</v>
      </c>
      <c r="AS299" t="s">
        <v>3</v>
      </c>
      <c r="AT299">
        <v>0.57999999999999996</v>
      </c>
      <c r="AU299" t="s">
        <v>3</v>
      </c>
      <c r="AV299">
        <v>0</v>
      </c>
      <c r="AW299">
        <v>2</v>
      </c>
      <c r="AX299">
        <v>94801674</v>
      </c>
      <c r="AY299">
        <v>1</v>
      </c>
      <c r="AZ299">
        <v>0</v>
      </c>
      <c r="BA299">
        <v>299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V299">
        <v>0</v>
      </c>
      <c r="CW299">
        <f>ROUND(Y299*Source!I328*DO299,9)</f>
        <v>0</v>
      </c>
      <c r="CX299">
        <f>ROUND(Y299*Source!I328,9)</f>
        <v>0.16889599999999999</v>
      </c>
      <c r="CY299">
        <f t="shared" si="124"/>
        <v>116.79</v>
      </c>
      <c r="CZ299">
        <f t="shared" si="125"/>
        <v>9.6999999999999993</v>
      </c>
      <c r="DA299">
        <f t="shared" si="126"/>
        <v>12.04</v>
      </c>
      <c r="DB299">
        <f t="shared" si="121"/>
        <v>5.63</v>
      </c>
      <c r="DC299">
        <f t="shared" si="122"/>
        <v>0</v>
      </c>
      <c r="DD299" t="s">
        <v>3</v>
      </c>
      <c r="DE299" t="s">
        <v>3</v>
      </c>
      <c r="DF299">
        <f t="shared" si="123"/>
        <v>0</v>
      </c>
      <c r="DG299">
        <f t="shared" si="127"/>
        <v>19.73</v>
      </c>
      <c r="DH299">
        <f t="shared" si="128"/>
        <v>0</v>
      </c>
      <c r="DI299">
        <f t="shared" si="115"/>
        <v>0</v>
      </c>
      <c r="DJ299">
        <f t="shared" si="129"/>
        <v>19.73</v>
      </c>
      <c r="DK299">
        <v>0</v>
      </c>
      <c r="DL299" t="s">
        <v>3</v>
      </c>
      <c r="DM299">
        <v>0</v>
      </c>
      <c r="DN299" t="s">
        <v>3</v>
      </c>
      <c r="DO299">
        <v>0</v>
      </c>
    </row>
    <row r="300" spans="1:119" x14ac:dyDescent="0.2">
      <c r="A300">
        <f>ROW(Source!A328)</f>
        <v>328</v>
      </c>
      <c r="B300">
        <v>94798619</v>
      </c>
      <c r="C300">
        <v>94801576</v>
      </c>
      <c r="D300">
        <v>37804456</v>
      </c>
      <c r="E300">
        <v>1</v>
      </c>
      <c r="F300">
        <v>1</v>
      </c>
      <c r="G300">
        <v>1</v>
      </c>
      <c r="H300">
        <v>2</v>
      </c>
      <c r="I300" t="s">
        <v>713</v>
      </c>
      <c r="J300" t="s">
        <v>714</v>
      </c>
      <c r="K300" t="s">
        <v>715</v>
      </c>
      <c r="L300">
        <v>1368</v>
      </c>
      <c r="N300">
        <v>1011</v>
      </c>
      <c r="O300" t="s">
        <v>700</v>
      </c>
      <c r="P300" t="s">
        <v>700</v>
      </c>
      <c r="Q300">
        <v>1</v>
      </c>
      <c r="W300">
        <v>0</v>
      </c>
      <c r="X300">
        <v>-671646184</v>
      </c>
      <c r="Y300">
        <f t="shared" si="120"/>
        <v>0.19</v>
      </c>
      <c r="AA300">
        <v>0</v>
      </c>
      <c r="AB300">
        <v>1305.74</v>
      </c>
      <c r="AC300">
        <v>365.04</v>
      </c>
      <c r="AD300">
        <v>0</v>
      </c>
      <c r="AE300">
        <v>0</v>
      </c>
      <c r="AF300">
        <v>91.76</v>
      </c>
      <c r="AG300">
        <v>10.35</v>
      </c>
      <c r="AH300">
        <v>0</v>
      </c>
      <c r="AI300">
        <v>1</v>
      </c>
      <c r="AJ300">
        <v>14.23</v>
      </c>
      <c r="AK300">
        <v>35.270000000000003</v>
      </c>
      <c r="AL300">
        <v>1</v>
      </c>
      <c r="AM300">
        <v>2</v>
      </c>
      <c r="AN300">
        <v>0</v>
      </c>
      <c r="AO300">
        <v>1</v>
      </c>
      <c r="AP300">
        <v>1</v>
      </c>
      <c r="AQ300">
        <v>0</v>
      </c>
      <c r="AR300">
        <v>0</v>
      </c>
      <c r="AS300" t="s">
        <v>3</v>
      </c>
      <c r="AT300">
        <v>0.19</v>
      </c>
      <c r="AU300" t="s">
        <v>3</v>
      </c>
      <c r="AV300">
        <v>0</v>
      </c>
      <c r="AW300">
        <v>2</v>
      </c>
      <c r="AX300">
        <v>94801675</v>
      </c>
      <c r="AY300">
        <v>1</v>
      </c>
      <c r="AZ300">
        <v>0</v>
      </c>
      <c r="BA300">
        <v>300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V300">
        <v>0</v>
      </c>
      <c r="CW300">
        <f>ROUND(Y300*Source!I328*DO300,9)</f>
        <v>0</v>
      </c>
      <c r="CX300">
        <f>ROUND(Y300*Source!I328,9)</f>
        <v>5.5328000000000002E-2</v>
      </c>
      <c r="CY300">
        <f t="shared" si="124"/>
        <v>1305.74</v>
      </c>
      <c r="CZ300">
        <f t="shared" si="125"/>
        <v>91.76</v>
      </c>
      <c r="DA300">
        <f t="shared" si="126"/>
        <v>14.23</v>
      </c>
      <c r="DB300">
        <f t="shared" si="121"/>
        <v>17.43</v>
      </c>
      <c r="DC300">
        <f t="shared" si="122"/>
        <v>1.97</v>
      </c>
      <c r="DD300" t="s">
        <v>3</v>
      </c>
      <c r="DE300" t="s">
        <v>3</v>
      </c>
      <c r="DF300">
        <f t="shared" si="123"/>
        <v>0</v>
      </c>
      <c r="DG300">
        <f t="shared" si="127"/>
        <v>72.239999999999995</v>
      </c>
      <c r="DH300">
        <f t="shared" si="128"/>
        <v>20.2</v>
      </c>
      <c r="DI300">
        <f t="shared" si="115"/>
        <v>0</v>
      </c>
      <c r="DJ300">
        <f t="shared" si="129"/>
        <v>72.239999999999995</v>
      </c>
      <c r="DK300">
        <v>0</v>
      </c>
      <c r="DL300" t="s">
        <v>3</v>
      </c>
      <c r="DM300">
        <v>0</v>
      </c>
      <c r="DN300" t="s">
        <v>3</v>
      </c>
      <c r="DO300">
        <v>0</v>
      </c>
    </row>
    <row r="301" spans="1:119" x14ac:dyDescent="0.2">
      <c r="A301">
        <f>ROW(Source!A328)</f>
        <v>328</v>
      </c>
      <c r="B301">
        <v>94798619</v>
      </c>
      <c r="C301">
        <v>94801576</v>
      </c>
      <c r="D301">
        <v>37730053</v>
      </c>
      <c r="E301">
        <v>1</v>
      </c>
      <c r="F301">
        <v>1</v>
      </c>
      <c r="G301">
        <v>1</v>
      </c>
      <c r="H301">
        <v>3</v>
      </c>
      <c r="I301" t="s">
        <v>839</v>
      </c>
      <c r="J301" t="s">
        <v>840</v>
      </c>
      <c r="K301" t="s">
        <v>841</v>
      </c>
      <c r="L301">
        <v>1348</v>
      </c>
      <c r="N301">
        <v>1009</v>
      </c>
      <c r="O301" t="s">
        <v>170</v>
      </c>
      <c r="P301" t="s">
        <v>170</v>
      </c>
      <c r="Q301">
        <v>1000</v>
      </c>
      <c r="W301">
        <v>0</v>
      </c>
      <c r="X301">
        <v>-1280064888</v>
      </c>
      <c r="Y301">
        <f t="shared" si="120"/>
        <v>1E-4</v>
      </c>
      <c r="AA301">
        <v>231948</v>
      </c>
      <c r="AB301">
        <v>0</v>
      </c>
      <c r="AC301">
        <v>0</v>
      </c>
      <c r="AD301">
        <v>0</v>
      </c>
      <c r="AE301">
        <v>37900</v>
      </c>
      <c r="AF301">
        <v>0</v>
      </c>
      <c r="AG301">
        <v>0</v>
      </c>
      <c r="AH301">
        <v>0</v>
      </c>
      <c r="AI301">
        <v>6.12</v>
      </c>
      <c r="AJ301">
        <v>1</v>
      </c>
      <c r="AK301">
        <v>1</v>
      </c>
      <c r="AL301">
        <v>1</v>
      </c>
      <c r="AM301">
        <v>2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3</v>
      </c>
      <c r="AT301">
        <v>1E-4</v>
      </c>
      <c r="AU301" t="s">
        <v>3</v>
      </c>
      <c r="AV301">
        <v>0</v>
      </c>
      <c r="AW301">
        <v>2</v>
      </c>
      <c r="AX301">
        <v>94801676</v>
      </c>
      <c r="AY301">
        <v>1</v>
      </c>
      <c r="AZ301">
        <v>0</v>
      </c>
      <c r="BA301">
        <v>301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V301">
        <v>0</v>
      </c>
      <c r="CW301">
        <v>0</v>
      </c>
      <c r="CX301">
        <f>ROUND(Y301*Source!I328,9)</f>
        <v>2.9119999999999999E-5</v>
      </c>
      <c r="CY301">
        <f t="shared" ref="CY301:CY314" si="130">AA301</f>
        <v>231948</v>
      </c>
      <c r="CZ301">
        <f t="shared" ref="CZ301:CZ314" si="131">AE301</f>
        <v>37900</v>
      </c>
      <c r="DA301">
        <f t="shared" ref="DA301:DA314" si="132">AI301</f>
        <v>6.12</v>
      </c>
      <c r="DB301">
        <f t="shared" si="121"/>
        <v>3.79</v>
      </c>
      <c r="DC301">
        <f t="shared" si="122"/>
        <v>0</v>
      </c>
      <c r="DD301" t="s">
        <v>3</v>
      </c>
      <c r="DE301" t="s">
        <v>3</v>
      </c>
      <c r="DF301">
        <f t="shared" ref="DF301:DF312" si="133">ROUND(ROUND(AE301*AI301,2)*CX301,2)</f>
        <v>6.75</v>
      </c>
      <c r="DG301">
        <f t="shared" ref="DG301:DG316" si="134">ROUND(ROUND(AF301,2)*CX301,2)</f>
        <v>0</v>
      </c>
      <c r="DH301">
        <f t="shared" ref="DH301:DH316" si="135">ROUND(ROUND(AG301,2)*CX301,2)</f>
        <v>0</v>
      </c>
      <c r="DI301">
        <f t="shared" si="115"/>
        <v>0</v>
      </c>
      <c r="DJ301">
        <f t="shared" ref="DJ301:DJ314" si="136">DF301</f>
        <v>6.75</v>
      </c>
      <c r="DK301">
        <v>0</v>
      </c>
      <c r="DL301" t="s">
        <v>3</v>
      </c>
      <c r="DM301">
        <v>0</v>
      </c>
      <c r="DN301" t="s">
        <v>3</v>
      </c>
      <c r="DO301">
        <v>0</v>
      </c>
    </row>
    <row r="302" spans="1:119" x14ac:dyDescent="0.2">
      <c r="A302">
        <f>ROW(Source!A328)</f>
        <v>328</v>
      </c>
      <c r="B302">
        <v>94798619</v>
      </c>
      <c r="C302">
        <v>94801576</v>
      </c>
      <c r="D302">
        <v>37729659</v>
      </c>
      <c r="E302">
        <v>1</v>
      </c>
      <c r="F302">
        <v>1</v>
      </c>
      <c r="G302">
        <v>1</v>
      </c>
      <c r="H302">
        <v>3</v>
      </c>
      <c r="I302" t="s">
        <v>187</v>
      </c>
      <c r="J302" t="s">
        <v>189</v>
      </c>
      <c r="K302" t="s">
        <v>188</v>
      </c>
      <c r="L302">
        <v>1339</v>
      </c>
      <c r="N302">
        <v>1007</v>
      </c>
      <c r="O302" t="s">
        <v>52</v>
      </c>
      <c r="P302" t="s">
        <v>52</v>
      </c>
      <c r="Q302">
        <v>1</v>
      </c>
      <c r="W302">
        <v>0</v>
      </c>
      <c r="X302">
        <v>-821751618</v>
      </c>
      <c r="Y302">
        <f t="shared" si="120"/>
        <v>0.5</v>
      </c>
      <c r="AA302">
        <v>118.62</v>
      </c>
      <c r="AB302">
        <v>0</v>
      </c>
      <c r="AC302">
        <v>0</v>
      </c>
      <c r="AD302">
        <v>0</v>
      </c>
      <c r="AE302">
        <v>6.22</v>
      </c>
      <c r="AF302">
        <v>0</v>
      </c>
      <c r="AG302">
        <v>0</v>
      </c>
      <c r="AH302">
        <v>0</v>
      </c>
      <c r="AI302">
        <v>19.07</v>
      </c>
      <c r="AJ302">
        <v>1</v>
      </c>
      <c r="AK302">
        <v>1</v>
      </c>
      <c r="AL302">
        <v>1</v>
      </c>
      <c r="AM302">
        <v>2</v>
      </c>
      <c r="AN302">
        <v>0</v>
      </c>
      <c r="AO302">
        <v>1</v>
      </c>
      <c r="AP302">
        <v>1</v>
      </c>
      <c r="AQ302">
        <v>0</v>
      </c>
      <c r="AR302">
        <v>0</v>
      </c>
      <c r="AS302" t="s">
        <v>3</v>
      </c>
      <c r="AT302">
        <v>0.5</v>
      </c>
      <c r="AU302" t="s">
        <v>3</v>
      </c>
      <c r="AV302">
        <v>0</v>
      </c>
      <c r="AW302">
        <v>2</v>
      </c>
      <c r="AX302">
        <v>94801677</v>
      </c>
      <c r="AY302">
        <v>1</v>
      </c>
      <c r="AZ302">
        <v>0</v>
      </c>
      <c r="BA302">
        <v>302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V302">
        <v>0</v>
      </c>
      <c r="CW302">
        <v>0</v>
      </c>
      <c r="CX302">
        <f>ROUND(Y302*Source!I328,9)</f>
        <v>0.14560000000000001</v>
      </c>
      <c r="CY302">
        <f t="shared" si="130"/>
        <v>118.62</v>
      </c>
      <c r="CZ302">
        <f t="shared" si="131"/>
        <v>6.22</v>
      </c>
      <c r="DA302">
        <f t="shared" si="132"/>
        <v>19.07</v>
      </c>
      <c r="DB302">
        <f t="shared" si="121"/>
        <v>3.11</v>
      </c>
      <c r="DC302">
        <f t="shared" si="122"/>
        <v>0</v>
      </c>
      <c r="DD302" t="s">
        <v>3</v>
      </c>
      <c r="DE302" t="s">
        <v>3</v>
      </c>
      <c r="DF302">
        <f t="shared" si="133"/>
        <v>17.27</v>
      </c>
      <c r="DG302">
        <f t="shared" si="134"/>
        <v>0</v>
      </c>
      <c r="DH302">
        <f t="shared" si="135"/>
        <v>0</v>
      </c>
      <c r="DI302">
        <f t="shared" si="115"/>
        <v>0</v>
      </c>
      <c r="DJ302">
        <f t="shared" si="136"/>
        <v>17.27</v>
      </c>
      <c r="DK302">
        <v>0</v>
      </c>
      <c r="DL302" t="s">
        <v>3</v>
      </c>
      <c r="DM302">
        <v>0</v>
      </c>
      <c r="DN302" t="s">
        <v>3</v>
      </c>
      <c r="DO302">
        <v>0</v>
      </c>
    </row>
    <row r="303" spans="1:119" x14ac:dyDescent="0.2">
      <c r="A303">
        <f>ROW(Source!A328)</f>
        <v>328</v>
      </c>
      <c r="B303">
        <v>94798619</v>
      </c>
      <c r="C303">
        <v>94801576</v>
      </c>
      <c r="D303">
        <v>37736264</v>
      </c>
      <c r="E303">
        <v>1</v>
      </c>
      <c r="F303">
        <v>1</v>
      </c>
      <c r="G303">
        <v>1</v>
      </c>
      <c r="H303">
        <v>3</v>
      </c>
      <c r="I303" t="s">
        <v>842</v>
      </c>
      <c r="J303" t="s">
        <v>843</v>
      </c>
      <c r="K303" t="s">
        <v>844</v>
      </c>
      <c r="L303">
        <v>1348</v>
      </c>
      <c r="N303">
        <v>1009</v>
      </c>
      <c r="O303" t="s">
        <v>170</v>
      </c>
      <c r="P303" t="s">
        <v>170</v>
      </c>
      <c r="Q303">
        <v>1000</v>
      </c>
      <c r="W303">
        <v>0</v>
      </c>
      <c r="X303">
        <v>1941264678</v>
      </c>
      <c r="Y303">
        <f t="shared" si="120"/>
        <v>3.0000000000000001E-5</v>
      </c>
      <c r="AA303">
        <v>31452.3</v>
      </c>
      <c r="AB303">
        <v>0</v>
      </c>
      <c r="AC303">
        <v>0</v>
      </c>
      <c r="AD303">
        <v>0</v>
      </c>
      <c r="AE303">
        <v>4455</v>
      </c>
      <c r="AF303">
        <v>0</v>
      </c>
      <c r="AG303">
        <v>0</v>
      </c>
      <c r="AH303">
        <v>0</v>
      </c>
      <c r="AI303">
        <v>7.06</v>
      </c>
      <c r="AJ303">
        <v>1</v>
      </c>
      <c r="AK303">
        <v>1</v>
      </c>
      <c r="AL303">
        <v>1</v>
      </c>
      <c r="AM303">
        <v>2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3</v>
      </c>
      <c r="AT303">
        <v>3.0000000000000001E-5</v>
      </c>
      <c r="AU303" t="s">
        <v>3</v>
      </c>
      <c r="AV303">
        <v>0</v>
      </c>
      <c r="AW303">
        <v>2</v>
      </c>
      <c r="AX303">
        <v>94801678</v>
      </c>
      <c r="AY303">
        <v>1</v>
      </c>
      <c r="AZ303">
        <v>0</v>
      </c>
      <c r="BA303">
        <v>303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V303">
        <v>0</v>
      </c>
      <c r="CW303">
        <v>0</v>
      </c>
      <c r="CX303">
        <f>ROUND(Y303*Source!I328,9)</f>
        <v>8.7360000000000007E-6</v>
      </c>
      <c r="CY303">
        <f t="shared" si="130"/>
        <v>31452.3</v>
      </c>
      <c r="CZ303">
        <f t="shared" si="131"/>
        <v>4455</v>
      </c>
      <c r="DA303">
        <f t="shared" si="132"/>
        <v>7.06</v>
      </c>
      <c r="DB303">
        <f t="shared" si="121"/>
        <v>0.13</v>
      </c>
      <c r="DC303">
        <f t="shared" si="122"/>
        <v>0</v>
      </c>
      <c r="DD303" t="s">
        <v>3</v>
      </c>
      <c r="DE303" t="s">
        <v>3</v>
      </c>
      <c r="DF303">
        <f t="shared" si="133"/>
        <v>0.27</v>
      </c>
      <c r="DG303">
        <f t="shared" si="134"/>
        <v>0</v>
      </c>
      <c r="DH303">
        <f t="shared" si="135"/>
        <v>0</v>
      </c>
      <c r="DI303">
        <f t="shared" si="115"/>
        <v>0</v>
      </c>
      <c r="DJ303">
        <f t="shared" si="136"/>
        <v>0.27</v>
      </c>
      <c r="DK303">
        <v>0</v>
      </c>
      <c r="DL303" t="s">
        <v>3</v>
      </c>
      <c r="DM303">
        <v>0</v>
      </c>
      <c r="DN303" t="s">
        <v>3</v>
      </c>
      <c r="DO303">
        <v>0</v>
      </c>
    </row>
    <row r="304" spans="1:119" x14ac:dyDescent="0.2">
      <c r="A304">
        <f>ROW(Source!A328)</f>
        <v>328</v>
      </c>
      <c r="B304">
        <v>94798619</v>
      </c>
      <c r="C304">
        <v>94801576</v>
      </c>
      <c r="D304">
        <v>37736447</v>
      </c>
      <c r="E304">
        <v>1</v>
      </c>
      <c r="F304">
        <v>1</v>
      </c>
      <c r="G304">
        <v>1</v>
      </c>
      <c r="H304">
        <v>3</v>
      </c>
      <c r="I304" t="s">
        <v>845</v>
      </c>
      <c r="J304" t="s">
        <v>846</v>
      </c>
      <c r="K304" t="s">
        <v>847</v>
      </c>
      <c r="L304">
        <v>1348</v>
      </c>
      <c r="N304">
        <v>1009</v>
      </c>
      <c r="O304" t="s">
        <v>170</v>
      </c>
      <c r="P304" t="s">
        <v>170</v>
      </c>
      <c r="Q304">
        <v>1000</v>
      </c>
      <c r="W304">
        <v>0</v>
      </c>
      <c r="X304">
        <v>-833443196</v>
      </c>
      <c r="Y304">
        <f t="shared" si="120"/>
        <v>1.9400000000000001E-3</v>
      </c>
      <c r="AA304">
        <v>72674</v>
      </c>
      <c r="AB304">
        <v>0</v>
      </c>
      <c r="AC304">
        <v>0</v>
      </c>
      <c r="AD304">
        <v>0</v>
      </c>
      <c r="AE304">
        <v>5191</v>
      </c>
      <c r="AF304">
        <v>0</v>
      </c>
      <c r="AG304">
        <v>0</v>
      </c>
      <c r="AH304">
        <v>0</v>
      </c>
      <c r="AI304">
        <v>14</v>
      </c>
      <c r="AJ304">
        <v>1</v>
      </c>
      <c r="AK304">
        <v>1</v>
      </c>
      <c r="AL304">
        <v>1</v>
      </c>
      <c r="AM304">
        <v>2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3</v>
      </c>
      <c r="AT304">
        <v>1.9400000000000001E-3</v>
      </c>
      <c r="AU304" t="s">
        <v>3</v>
      </c>
      <c r="AV304">
        <v>0</v>
      </c>
      <c r="AW304">
        <v>2</v>
      </c>
      <c r="AX304">
        <v>94801679</v>
      </c>
      <c r="AY304">
        <v>1</v>
      </c>
      <c r="AZ304">
        <v>0</v>
      </c>
      <c r="BA304">
        <v>304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V304">
        <v>0</v>
      </c>
      <c r="CW304">
        <v>0</v>
      </c>
      <c r="CX304">
        <f>ROUND(Y304*Source!I328,9)</f>
        <v>5.6492800000000002E-4</v>
      </c>
      <c r="CY304">
        <f t="shared" si="130"/>
        <v>72674</v>
      </c>
      <c r="CZ304">
        <f t="shared" si="131"/>
        <v>5191</v>
      </c>
      <c r="DA304">
        <f t="shared" si="132"/>
        <v>14</v>
      </c>
      <c r="DB304">
        <f t="shared" si="121"/>
        <v>10.07</v>
      </c>
      <c r="DC304">
        <f t="shared" si="122"/>
        <v>0</v>
      </c>
      <c r="DD304" t="s">
        <v>3</v>
      </c>
      <c r="DE304" t="s">
        <v>3</v>
      </c>
      <c r="DF304">
        <f t="shared" si="133"/>
        <v>41.06</v>
      </c>
      <c r="DG304">
        <f t="shared" si="134"/>
        <v>0</v>
      </c>
      <c r="DH304">
        <f t="shared" si="135"/>
        <v>0</v>
      </c>
      <c r="DI304">
        <f t="shared" si="115"/>
        <v>0</v>
      </c>
      <c r="DJ304">
        <f t="shared" si="136"/>
        <v>41.06</v>
      </c>
      <c r="DK304">
        <v>0</v>
      </c>
      <c r="DL304" t="s">
        <v>3</v>
      </c>
      <c r="DM304">
        <v>0</v>
      </c>
      <c r="DN304" t="s">
        <v>3</v>
      </c>
      <c r="DO304">
        <v>0</v>
      </c>
    </row>
    <row r="305" spans="1:119" x14ac:dyDescent="0.2">
      <c r="A305">
        <f>ROW(Source!A328)</f>
        <v>328</v>
      </c>
      <c r="B305">
        <v>94798619</v>
      </c>
      <c r="C305">
        <v>94801576</v>
      </c>
      <c r="D305">
        <v>37736609</v>
      </c>
      <c r="E305">
        <v>1</v>
      </c>
      <c r="F305">
        <v>1</v>
      </c>
      <c r="G305">
        <v>1</v>
      </c>
      <c r="H305">
        <v>3</v>
      </c>
      <c r="I305" t="s">
        <v>912</v>
      </c>
      <c r="J305" t="s">
        <v>913</v>
      </c>
      <c r="K305" t="s">
        <v>914</v>
      </c>
      <c r="L305">
        <v>1348</v>
      </c>
      <c r="N305">
        <v>1009</v>
      </c>
      <c r="O305" t="s">
        <v>170</v>
      </c>
      <c r="P305" t="s">
        <v>170</v>
      </c>
      <c r="Q305">
        <v>1000</v>
      </c>
      <c r="W305">
        <v>0</v>
      </c>
      <c r="X305">
        <v>1483167196</v>
      </c>
      <c r="Y305">
        <f t="shared" si="120"/>
        <v>2.5999999999999999E-3</v>
      </c>
      <c r="AA305">
        <v>119730</v>
      </c>
      <c r="AB305">
        <v>0</v>
      </c>
      <c r="AC305">
        <v>0</v>
      </c>
      <c r="AD305">
        <v>0</v>
      </c>
      <c r="AE305">
        <v>9750</v>
      </c>
      <c r="AF305">
        <v>0</v>
      </c>
      <c r="AG305">
        <v>0</v>
      </c>
      <c r="AH305">
        <v>0</v>
      </c>
      <c r="AI305">
        <v>12.28</v>
      </c>
      <c r="AJ305">
        <v>1</v>
      </c>
      <c r="AK305">
        <v>1</v>
      </c>
      <c r="AL305">
        <v>1</v>
      </c>
      <c r="AM305">
        <v>2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3</v>
      </c>
      <c r="AT305">
        <v>2.5999999999999999E-3</v>
      </c>
      <c r="AU305" t="s">
        <v>3</v>
      </c>
      <c r="AV305">
        <v>0</v>
      </c>
      <c r="AW305">
        <v>2</v>
      </c>
      <c r="AX305">
        <v>94801680</v>
      </c>
      <c r="AY305">
        <v>1</v>
      </c>
      <c r="AZ305">
        <v>0</v>
      </c>
      <c r="BA305">
        <v>305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V305">
        <v>0</v>
      </c>
      <c r="CW305">
        <v>0</v>
      </c>
      <c r="CX305">
        <f>ROUND(Y305*Source!I328,9)</f>
        <v>7.5712000000000002E-4</v>
      </c>
      <c r="CY305">
        <f t="shared" si="130"/>
        <v>119730</v>
      </c>
      <c r="CZ305">
        <f t="shared" si="131"/>
        <v>9750</v>
      </c>
      <c r="DA305">
        <f t="shared" si="132"/>
        <v>12.28</v>
      </c>
      <c r="DB305">
        <f t="shared" si="121"/>
        <v>25.35</v>
      </c>
      <c r="DC305">
        <f t="shared" si="122"/>
        <v>0</v>
      </c>
      <c r="DD305" t="s">
        <v>3</v>
      </c>
      <c r="DE305" t="s">
        <v>3</v>
      </c>
      <c r="DF305">
        <f t="shared" si="133"/>
        <v>90.65</v>
      </c>
      <c r="DG305">
        <f t="shared" si="134"/>
        <v>0</v>
      </c>
      <c r="DH305">
        <f t="shared" si="135"/>
        <v>0</v>
      </c>
      <c r="DI305">
        <f t="shared" si="115"/>
        <v>0</v>
      </c>
      <c r="DJ305">
        <f t="shared" si="136"/>
        <v>90.65</v>
      </c>
      <c r="DK305">
        <v>0</v>
      </c>
      <c r="DL305" t="s">
        <v>3</v>
      </c>
      <c r="DM305">
        <v>0</v>
      </c>
      <c r="DN305" t="s">
        <v>3</v>
      </c>
      <c r="DO305">
        <v>0</v>
      </c>
    </row>
    <row r="306" spans="1:119" x14ac:dyDescent="0.2">
      <c r="A306">
        <f>ROW(Source!A328)</f>
        <v>328</v>
      </c>
      <c r="B306">
        <v>94798619</v>
      </c>
      <c r="C306">
        <v>94801576</v>
      </c>
      <c r="D306">
        <v>37736859</v>
      </c>
      <c r="E306">
        <v>1</v>
      </c>
      <c r="F306">
        <v>1</v>
      </c>
      <c r="G306">
        <v>1</v>
      </c>
      <c r="H306">
        <v>3</v>
      </c>
      <c r="I306" t="s">
        <v>252</v>
      </c>
      <c r="J306" t="s">
        <v>254</v>
      </c>
      <c r="K306" t="s">
        <v>253</v>
      </c>
      <c r="L306">
        <v>1348</v>
      </c>
      <c r="N306">
        <v>1009</v>
      </c>
      <c r="O306" t="s">
        <v>170</v>
      </c>
      <c r="P306" t="s">
        <v>170</v>
      </c>
      <c r="Q306">
        <v>1000</v>
      </c>
      <c r="W306">
        <v>0</v>
      </c>
      <c r="X306">
        <v>-384985709</v>
      </c>
      <c r="Y306">
        <f t="shared" si="120"/>
        <v>3.0000000000000001E-3</v>
      </c>
      <c r="AA306">
        <v>208824.23</v>
      </c>
      <c r="AB306">
        <v>0</v>
      </c>
      <c r="AC306">
        <v>0</v>
      </c>
      <c r="AD306">
        <v>0</v>
      </c>
      <c r="AE306">
        <v>9040.01</v>
      </c>
      <c r="AF306">
        <v>0</v>
      </c>
      <c r="AG306">
        <v>0</v>
      </c>
      <c r="AH306">
        <v>0</v>
      </c>
      <c r="AI306">
        <v>23.1</v>
      </c>
      <c r="AJ306">
        <v>1</v>
      </c>
      <c r="AK306">
        <v>1</v>
      </c>
      <c r="AL306">
        <v>1</v>
      </c>
      <c r="AM306">
        <v>2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3</v>
      </c>
      <c r="AT306">
        <v>3.0000000000000001E-3</v>
      </c>
      <c r="AU306" t="s">
        <v>3</v>
      </c>
      <c r="AV306">
        <v>0</v>
      </c>
      <c r="AW306">
        <v>2</v>
      </c>
      <c r="AX306">
        <v>94801681</v>
      </c>
      <c r="AY306">
        <v>1</v>
      </c>
      <c r="AZ306">
        <v>0</v>
      </c>
      <c r="BA306">
        <v>306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V306">
        <v>0</v>
      </c>
      <c r="CW306">
        <v>0</v>
      </c>
      <c r="CX306">
        <f>ROUND(Y306*Source!I328,9)</f>
        <v>8.7359999999999998E-4</v>
      </c>
      <c r="CY306">
        <f t="shared" si="130"/>
        <v>208824.23</v>
      </c>
      <c r="CZ306">
        <f t="shared" si="131"/>
        <v>9040.01</v>
      </c>
      <c r="DA306">
        <f t="shared" si="132"/>
        <v>23.1</v>
      </c>
      <c r="DB306">
        <f t="shared" si="121"/>
        <v>27.12</v>
      </c>
      <c r="DC306">
        <f t="shared" si="122"/>
        <v>0</v>
      </c>
      <c r="DD306" t="s">
        <v>3</v>
      </c>
      <c r="DE306" t="s">
        <v>3</v>
      </c>
      <c r="DF306">
        <f t="shared" si="133"/>
        <v>182.43</v>
      </c>
      <c r="DG306">
        <f t="shared" si="134"/>
        <v>0</v>
      </c>
      <c r="DH306">
        <f t="shared" si="135"/>
        <v>0</v>
      </c>
      <c r="DI306">
        <f t="shared" si="115"/>
        <v>0</v>
      </c>
      <c r="DJ306">
        <f t="shared" si="136"/>
        <v>182.43</v>
      </c>
      <c r="DK306">
        <v>0</v>
      </c>
      <c r="DL306" t="s">
        <v>3</v>
      </c>
      <c r="DM306">
        <v>0</v>
      </c>
      <c r="DN306" t="s">
        <v>3</v>
      </c>
      <c r="DO306">
        <v>0</v>
      </c>
    </row>
    <row r="307" spans="1:119" x14ac:dyDescent="0.2">
      <c r="A307">
        <f>ROW(Source!A328)</f>
        <v>328</v>
      </c>
      <c r="B307">
        <v>94798619</v>
      </c>
      <c r="C307">
        <v>94801576</v>
      </c>
      <c r="D307">
        <v>37736933</v>
      </c>
      <c r="E307">
        <v>1</v>
      </c>
      <c r="F307">
        <v>1</v>
      </c>
      <c r="G307">
        <v>1</v>
      </c>
      <c r="H307">
        <v>3</v>
      </c>
      <c r="I307" t="s">
        <v>851</v>
      </c>
      <c r="J307" t="s">
        <v>852</v>
      </c>
      <c r="K307" t="s">
        <v>853</v>
      </c>
      <c r="L307">
        <v>1348</v>
      </c>
      <c r="N307">
        <v>1009</v>
      </c>
      <c r="O307" t="s">
        <v>170</v>
      </c>
      <c r="P307" t="s">
        <v>170</v>
      </c>
      <c r="Q307">
        <v>1000</v>
      </c>
      <c r="W307">
        <v>0</v>
      </c>
      <c r="X307">
        <v>-667930777</v>
      </c>
      <c r="Y307">
        <f t="shared" si="120"/>
        <v>1.0000000000000001E-5</v>
      </c>
      <c r="AA307">
        <v>111120.24</v>
      </c>
      <c r="AB307">
        <v>0</v>
      </c>
      <c r="AC307">
        <v>0</v>
      </c>
      <c r="AD307">
        <v>0</v>
      </c>
      <c r="AE307">
        <v>12936</v>
      </c>
      <c r="AF307">
        <v>0</v>
      </c>
      <c r="AG307">
        <v>0</v>
      </c>
      <c r="AH307">
        <v>0</v>
      </c>
      <c r="AI307">
        <v>8.59</v>
      </c>
      <c r="AJ307">
        <v>1</v>
      </c>
      <c r="AK307">
        <v>1</v>
      </c>
      <c r="AL307">
        <v>1</v>
      </c>
      <c r="AM307">
        <v>2</v>
      </c>
      <c r="AN307">
        <v>0</v>
      </c>
      <c r="AO307">
        <v>1</v>
      </c>
      <c r="AP307">
        <v>1</v>
      </c>
      <c r="AQ307">
        <v>0</v>
      </c>
      <c r="AR307">
        <v>0</v>
      </c>
      <c r="AS307" t="s">
        <v>3</v>
      </c>
      <c r="AT307">
        <v>1.0000000000000001E-5</v>
      </c>
      <c r="AU307" t="s">
        <v>3</v>
      </c>
      <c r="AV307">
        <v>0</v>
      </c>
      <c r="AW307">
        <v>2</v>
      </c>
      <c r="AX307">
        <v>94801682</v>
      </c>
      <c r="AY307">
        <v>1</v>
      </c>
      <c r="AZ307">
        <v>0</v>
      </c>
      <c r="BA307">
        <v>307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V307">
        <v>0</v>
      </c>
      <c r="CW307">
        <v>0</v>
      </c>
      <c r="CX307">
        <f>ROUND(Y307*Source!I328,9)</f>
        <v>2.9119999999999998E-6</v>
      </c>
      <c r="CY307">
        <f t="shared" si="130"/>
        <v>111120.24</v>
      </c>
      <c r="CZ307">
        <f t="shared" si="131"/>
        <v>12936</v>
      </c>
      <c r="DA307">
        <f t="shared" si="132"/>
        <v>8.59</v>
      </c>
      <c r="DB307">
        <f t="shared" si="121"/>
        <v>0.13</v>
      </c>
      <c r="DC307">
        <f t="shared" si="122"/>
        <v>0</v>
      </c>
      <c r="DD307" t="s">
        <v>3</v>
      </c>
      <c r="DE307" t="s">
        <v>3</v>
      </c>
      <c r="DF307">
        <f t="shared" si="133"/>
        <v>0.32</v>
      </c>
      <c r="DG307">
        <f t="shared" si="134"/>
        <v>0</v>
      </c>
      <c r="DH307">
        <f t="shared" si="135"/>
        <v>0</v>
      </c>
      <c r="DI307">
        <f t="shared" si="115"/>
        <v>0</v>
      </c>
      <c r="DJ307">
        <f t="shared" si="136"/>
        <v>0.32</v>
      </c>
      <c r="DK307">
        <v>0</v>
      </c>
      <c r="DL307" t="s">
        <v>3</v>
      </c>
      <c r="DM307">
        <v>0</v>
      </c>
      <c r="DN307" t="s">
        <v>3</v>
      </c>
      <c r="DO307">
        <v>0</v>
      </c>
    </row>
    <row r="308" spans="1:119" x14ac:dyDescent="0.2">
      <c r="A308">
        <f>ROW(Source!A328)</f>
        <v>328</v>
      </c>
      <c r="B308">
        <v>94798619</v>
      </c>
      <c r="C308">
        <v>94801576</v>
      </c>
      <c r="D308">
        <v>37729662</v>
      </c>
      <c r="E308">
        <v>1</v>
      </c>
      <c r="F308">
        <v>1</v>
      </c>
      <c r="G308">
        <v>1</v>
      </c>
      <c r="H308">
        <v>3</v>
      </c>
      <c r="I308" t="s">
        <v>812</v>
      </c>
      <c r="J308" t="s">
        <v>813</v>
      </c>
      <c r="K308" t="s">
        <v>814</v>
      </c>
      <c r="L308">
        <v>1346</v>
      </c>
      <c r="N308">
        <v>1009</v>
      </c>
      <c r="O308" t="s">
        <v>192</v>
      </c>
      <c r="P308" t="s">
        <v>192</v>
      </c>
      <c r="Q308">
        <v>1</v>
      </c>
      <c r="W308">
        <v>0</v>
      </c>
      <c r="X308">
        <v>873943321</v>
      </c>
      <c r="Y308">
        <f t="shared" si="120"/>
        <v>0.15</v>
      </c>
      <c r="AA308">
        <v>53.09</v>
      </c>
      <c r="AB308">
        <v>0</v>
      </c>
      <c r="AC308">
        <v>0</v>
      </c>
      <c r="AD308">
        <v>0</v>
      </c>
      <c r="AE308">
        <v>6.62</v>
      </c>
      <c r="AF308">
        <v>0</v>
      </c>
      <c r="AG308">
        <v>0</v>
      </c>
      <c r="AH308">
        <v>0</v>
      </c>
      <c r="AI308">
        <v>8.02</v>
      </c>
      <c r="AJ308">
        <v>1</v>
      </c>
      <c r="AK308">
        <v>1</v>
      </c>
      <c r="AL308">
        <v>1</v>
      </c>
      <c r="AM308">
        <v>2</v>
      </c>
      <c r="AN308">
        <v>0</v>
      </c>
      <c r="AO308">
        <v>1</v>
      </c>
      <c r="AP308">
        <v>1</v>
      </c>
      <c r="AQ308">
        <v>0</v>
      </c>
      <c r="AR308">
        <v>0</v>
      </c>
      <c r="AS308" t="s">
        <v>3</v>
      </c>
      <c r="AT308">
        <v>0.15</v>
      </c>
      <c r="AU308" t="s">
        <v>3</v>
      </c>
      <c r="AV308">
        <v>0</v>
      </c>
      <c r="AW308">
        <v>2</v>
      </c>
      <c r="AX308">
        <v>94801683</v>
      </c>
      <c r="AY308">
        <v>1</v>
      </c>
      <c r="AZ308">
        <v>0</v>
      </c>
      <c r="BA308">
        <v>308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V308">
        <v>0</v>
      </c>
      <c r="CW308">
        <v>0</v>
      </c>
      <c r="CX308">
        <f>ROUND(Y308*Source!I328,9)</f>
        <v>4.3679999999999997E-2</v>
      </c>
      <c r="CY308">
        <f t="shared" si="130"/>
        <v>53.09</v>
      </c>
      <c r="CZ308">
        <f t="shared" si="131"/>
        <v>6.62</v>
      </c>
      <c r="DA308">
        <f t="shared" si="132"/>
        <v>8.02</v>
      </c>
      <c r="DB308">
        <f t="shared" si="121"/>
        <v>0.99</v>
      </c>
      <c r="DC308">
        <f t="shared" si="122"/>
        <v>0</v>
      </c>
      <c r="DD308" t="s">
        <v>3</v>
      </c>
      <c r="DE308" t="s">
        <v>3</v>
      </c>
      <c r="DF308">
        <f t="shared" si="133"/>
        <v>2.3199999999999998</v>
      </c>
      <c r="DG308">
        <f t="shared" si="134"/>
        <v>0</v>
      </c>
      <c r="DH308">
        <f t="shared" si="135"/>
        <v>0</v>
      </c>
      <c r="DI308">
        <f t="shared" si="115"/>
        <v>0</v>
      </c>
      <c r="DJ308">
        <f t="shared" si="136"/>
        <v>2.3199999999999998</v>
      </c>
      <c r="DK308">
        <v>0</v>
      </c>
      <c r="DL308" t="s">
        <v>3</v>
      </c>
      <c r="DM308">
        <v>0</v>
      </c>
      <c r="DN308" t="s">
        <v>3</v>
      </c>
      <c r="DO308">
        <v>0</v>
      </c>
    </row>
    <row r="309" spans="1:119" x14ac:dyDescent="0.2">
      <c r="A309">
        <f>ROW(Source!A328)</f>
        <v>328</v>
      </c>
      <c r="B309">
        <v>94798619</v>
      </c>
      <c r="C309">
        <v>94801576</v>
      </c>
      <c r="D309">
        <v>37732807</v>
      </c>
      <c r="E309">
        <v>1</v>
      </c>
      <c r="F309">
        <v>1</v>
      </c>
      <c r="G309">
        <v>1</v>
      </c>
      <c r="H309">
        <v>3</v>
      </c>
      <c r="I309" t="s">
        <v>854</v>
      </c>
      <c r="J309" t="s">
        <v>855</v>
      </c>
      <c r="K309" t="s">
        <v>856</v>
      </c>
      <c r="L309">
        <v>1348</v>
      </c>
      <c r="N309">
        <v>1009</v>
      </c>
      <c r="O309" t="s">
        <v>170</v>
      </c>
      <c r="P309" t="s">
        <v>170</v>
      </c>
      <c r="Q309">
        <v>1000</v>
      </c>
      <c r="W309">
        <v>0</v>
      </c>
      <c r="X309">
        <v>-250432139</v>
      </c>
      <c r="Y309">
        <f t="shared" si="120"/>
        <v>5.9999999999999995E-4</v>
      </c>
      <c r="AA309">
        <v>72063</v>
      </c>
      <c r="AB309">
        <v>0</v>
      </c>
      <c r="AC309">
        <v>0</v>
      </c>
      <c r="AD309">
        <v>0</v>
      </c>
      <c r="AE309">
        <v>9420</v>
      </c>
      <c r="AF309">
        <v>0</v>
      </c>
      <c r="AG309">
        <v>0</v>
      </c>
      <c r="AH309">
        <v>0</v>
      </c>
      <c r="AI309">
        <v>7.65</v>
      </c>
      <c r="AJ309">
        <v>1</v>
      </c>
      <c r="AK309">
        <v>1</v>
      </c>
      <c r="AL309">
        <v>1</v>
      </c>
      <c r="AM309">
        <v>2</v>
      </c>
      <c r="AN309">
        <v>0</v>
      </c>
      <c r="AO309">
        <v>1</v>
      </c>
      <c r="AP309">
        <v>1</v>
      </c>
      <c r="AQ309">
        <v>0</v>
      </c>
      <c r="AR309">
        <v>0</v>
      </c>
      <c r="AS309" t="s">
        <v>3</v>
      </c>
      <c r="AT309">
        <v>5.9999999999999995E-4</v>
      </c>
      <c r="AU309" t="s">
        <v>3</v>
      </c>
      <c r="AV309">
        <v>0</v>
      </c>
      <c r="AW309">
        <v>2</v>
      </c>
      <c r="AX309">
        <v>94801684</v>
      </c>
      <c r="AY309">
        <v>1</v>
      </c>
      <c r="AZ309">
        <v>0</v>
      </c>
      <c r="BA309">
        <v>309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V309">
        <v>0</v>
      </c>
      <c r="CW309">
        <v>0</v>
      </c>
      <c r="CX309">
        <f>ROUND(Y309*Source!I328,9)</f>
        <v>1.7472000000000001E-4</v>
      </c>
      <c r="CY309">
        <f t="shared" si="130"/>
        <v>72063</v>
      </c>
      <c r="CZ309">
        <f t="shared" si="131"/>
        <v>9420</v>
      </c>
      <c r="DA309">
        <f t="shared" si="132"/>
        <v>7.65</v>
      </c>
      <c r="DB309">
        <f t="shared" si="121"/>
        <v>5.65</v>
      </c>
      <c r="DC309">
        <f t="shared" si="122"/>
        <v>0</v>
      </c>
      <c r="DD309" t="s">
        <v>3</v>
      </c>
      <c r="DE309" t="s">
        <v>3</v>
      </c>
      <c r="DF309">
        <f t="shared" si="133"/>
        <v>12.59</v>
      </c>
      <c r="DG309">
        <f t="shared" si="134"/>
        <v>0</v>
      </c>
      <c r="DH309">
        <f t="shared" si="135"/>
        <v>0</v>
      </c>
      <c r="DI309">
        <f t="shared" si="115"/>
        <v>0</v>
      </c>
      <c r="DJ309">
        <f t="shared" si="136"/>
        <v>12.59</v>
      </c>
      <c r="DK309">
        <v>0</v>
      </c>
      <c r="DL309" t="s">
        <v>3</v>
      </c>
      <c r="DM309">
        <v>0</v>
      </c>
      <c r="DN309" t="s">
        <v>3</v>
      </c>
      <c r="DO309">
        <v>0</v>
      </c>
    </row>
    <row r="310" spans="1:119" x14ac:dyDescent="0.2">
      <c r="A310">
        <f>ROW(Source!A328)</f>
        <v>328</v>
      </c>
      <c r="B310">
        <v>94798619</v>
      </c>
      <c r="C310">
        <v>94801576</v>
      </c>
      <c r="D310">
        <v>37738047</v>
      </c>
      <c r="E310">
        <v>1</v>
      </c>
      <c r="F310">
        <v>1</v>
      </c>
      <c r="G310">
        <v>1</v>
      </c>
      <c r="H310">
        <v>3</v>
      </c>
      <c r="I310" t="s">
        <v>857</v>
      </c>
      <c r="J310" t="s">
        <v>858</v>
      </c>
      <c r="K310" t="s">
        <v>859</v>
      </c>
      <c r="L310">
        <v>1339</v>
      </c>
      <c r="N310">
        <v>1007</v>
      </c>
      <c r="O310" t="s">
        <v>52</v>
      </c>
      <c r="P310" t="s">
        <v>52</v>
      </c>
      <c r="Q310">
        <v>1</v>
      </c>
      <c r="W310">
        <v>0</v>
      </c>
      <c r="X310">
        <v>579634616</v>
      </c>
      <c r="Y310">
        <f t="shared" si="120"/>
        <v>1.0300000000000001E-3</v>
      </c>
      <c r="AA310">
        <v>18572.47</v>
      </c>
      <c r="AB310">
        <v>0</v>
      </c>
      <c r="AC310">
        <v>0</v>
      </c>
      <c r="AD310">
        <v>0</v>
      </c>
      <c r="AE310">
        <v>1421</v>
      </c>
      <c r="AF310">
        <v>0</v>
      </c>
      <c r="AG310">
        <v>0</v>
      </c>
      <c r="AH310">
        <v>0</v>
      </c>
      <c r="AI310">
        <v>13.07</v>
      </c>
      <c r="AJ310">
        <v>1</v>
      </c>
      <c r="AK310">
        <v>1</v>
      </c>
      <c r="AL310">
        <v>1</v>
      </c>
      <c r="AM310">
        <v>2</v>
      </c>
      <c r="AN310">
        <v>0</v>
      </c>
      <c r="AO310">
        <v>1</v>
      </c>
      <c r="AP310">
        <v>1</v>
      </c>
      <c r="AQ310">
        <v>0</v>
      </c>
      <c r="AR310">
        <v>0</v>
      </c>
      <c r="AS310" t="s">
        <v>3</v>
      </c>
      <c r="AT310">
        <v>1.0300000000000001E-3</v>
      </c>
      <c r="AU310" t="s">
        <v>3</v>
      </c>
      <c r="AV310">
        <v>0</v>
      </c>
      <c r="AW310">
        <v>2</v>
      </c>
      <c r="AX310">
        <v>94801685</v>
      </c>
      <c r="AY310">
        <v>1</v>
      </c>
      <c r="AZ310">
        <v>0</v>
      </c>
      <c r="BA310">
        <v>310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V310">
        <v>0</v>
      </c>
      <c r="CW310">
        <v>0</v>
      </c>
      <c r="CX310">
        <f>ROUND(Y310*Source!I328,9)</f>
        <v>2.99936E-4</v>
      </c>
      <c r="CY310">
        <f t="shared" si="130"/>
        <v>18572.47</v>
      </c>
      <c r="CZ310">
        <f t="shared" si="131"/>
        <v>1421</v>
      </c>
      <c r="DA310">
        <f t="shared" si="132"/>
        <v>13.07</v>
      </c>
      <c r="DB310">
        <f t="shared" si="121"/>
        <v>1.46</v>
      </c>
      <c r="DC310">
        <f t="shared" si="122"/>
        <v>0</v>
      </c>
      <c r="DD310" t="s">
        <v>3</v>
      </c>
      <c r="DE310" t="s">
        <v>3</v>
      </c>
      <c r="DF310">
        <f t="shared" si="133"/>
        <v>5.57</v>
      </c>
      <c r="DG310">
        <f t="shared" si="134"/>
        <v>0</v>
      </c>
      <c r="DH310">
        <f t="shared" si="135"/>
        <v>0</v>
      </c>
      <c r="DI310">
        <f t="shared" si="115"/>
        <v>0</v>
      </c>
      <c r="DJ310">
        <f t="shared" si="136"/>
        <v>5.57</v>
      </c>
      <c r="DK310">
        <v>0</v>
      </c>
      <c r="DL310" t="s">
        <v>3</v>
      </c>
      <c r="DM310">
        <v>0</v>
      </c>
      <c r="DN310" t="s">
        <v>3</v>
      </c>
      <c r="DO310">
        <v>0</v>
      </c>
    </row>
    <row r="311" spans="1:119" x14ac:dyDescent="0.2">
      <c r="A311">
        <f>ROW(Source!A328)</f>
        <v>328</v>
      </c>
      <c r="B311">
        <v>94798619</v>
      </c>
      <c r="C311">
        <v>94801576</v>
      </c>
      <c r="D311">
        <v>37744698</v>
      </c>
      <c r="E311">
        <v>1</v>
      </c>
      <c r="F311">
        <v>1</v>
      </c>
      <c r="G311">
        <v>1</v>
      </c>
      <c r="H311">
        <v>3</v>
      </c>
      <c r="I311" t="s">
        <v>178</v>
      </c>
      <c r="J311" t="s">
        <v>180</v>
      </c>
      <c r="K311" t="s">
        <v>179</v>
      </c>
      <c r="L311">
        <v>1348</v>
      </c>
      <c r="N311">
        <v>1009</v>
      </c>
      <c r="O311" t="s">
        <v>170</v>
      </c>
      <c r="P311" t="s">
        <v>170</v>
      </c>
      <c r="Q311">
        <v>1000</v>
      </c>
      <c r="W311">
        <v>0</v>
      </c>
      <c r="X311">
        <v>-763406924</v>
      </c>
      <c r="Y311">
        <f t="shared" si="120"/>
        <v>3.1E-4</v>
      </c>
      <c r="AA311">
        <v>80130.600000000006</v>
      </c>
      <c r="AB311">
        <v>0</v>
      </c>
      <c r="AC311">
        <v>0</v>
      </c>
      <c r="AD311">
        <v>0</v>
      </c>
      <c r="AE311">
        <v>15620</v>
      </c>
      <c r="AF311">
        <v>0</v>
      </c>
      <c r="AG311">
        <v>0</v>
      </c>
      <c r="AH311">
        <v>0</v>
      </c>
      <c r="AI311">
        <v>5.13</v>
      </c>
      <c r="AJ311">
        <v>1</v>
      </c>
      <c r="AK311">
        <v>1</v>
      </c>
      <c r="AL311">
        <v>1</v>
      </c>
      <c r="AM311">
        <v>2</v>
      </c>
      <c r="AN311">
        <v>0</v>
      </c>
      <c r="AO311">
        <v>1</v>
      </c>
      <c r="AP311">
        <v>1</v>
      </c>
      <c r="AQ311">
        <v>0</v>
      </c>
      <c r="AR311">
        <v>0</v>
      </c>
      <c r="AS311" t="s">
        <v>3</v>
      </c>
      <c r="AT311">
        <v>3.1E-4</v>
      </c>
      <c r="AU311" t="s">
        <v>3</v>
      </c>
      <c r="AV311">
        <v>0</v>
      </c>
      <c r="AW311">
        <v>2</v>
      </c>
      <c r="AX311">
        <v>94801686</v>
      </c>
      <c r="AY311">
        <v>1</v>
      </c>
      <c r="AZ311">
        <v>0</v>
      </c>
      <c r="BA311">
        <v>311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V311">
        <v>0</v>
      </c>
      <c r="CW311">
        <v>0</v>
      </c>
      <c r="CX311">
        <f>ROUND(Y311*Source!I328,9)</f>
        <v>9.0272000000000006E-5</v>
      </c>
      <c r="CY311">
        <f t="shared" si="130"/>
        <v>80130.600000000006</v>
      </c>
      <c r="CZ311">
        <f t="shared" si="131"/>
        <v>15620</v>
      </c>
      <c r="DA311">
        <f t="shared" si="132"/>
        <v>5.13</v>
      </c>
      <c r="DB311">
        <f t="shared" si="121"/>
        <v>4.84</v>
      </c>
      <c r="DC311">
        <f t="shared" si="122"/>
        <v>0</v>
      </c>
      <c r="DD311" t="s">
        <v>3</v>
      </c>
      <c r="DE311" t="s">
        <v>3</v>
      </c>
      <c r="DF311">
        <f t="shared" si="133"/>
        <v>7.23</v>
      </c>
      <c r="DG311">
        <f t="shared" si="134"/>
        <v>0</v>
      </c>
      <c r="DH311">
        <f t="shared" si="135"/>
        <v>0</v>
      </c>
      <c r="DI311">
        <f t="shared" si="115"/>
        <v>0</v>
      </c>
      <c r="DJ311">
        <f t="shared" si="136"/>
        <v>7.23</v>
      </c>
      <c r="DK311">
        <v>0</v>
      </c>
      <c r="DL311" t="s">
        <v>3</v>
      </c>
      <c r="DM311">
        <v>0</v>
      </c>
      <c r="DN311" t="s">
        <v>3</v>
      </c>
      <c r="DO311">
        <v>0</v>
      </c>
    </row>
    <row r="312" spans="1:119" x14ac:dyDescent="0.2">
      <c r="A312">
        <f>ROW(Source!A328)</f>
        <v>328</v>
      </c>
      <c r="B312">
        <v>94798619</v>
      </c>
      <c r="C312">
        <v>94801576</v>
      </c>
      <c r="D312">
        <v>37751308</v>
      </c>
      <c r="E312">
        <v>1</v>
      </c>
      <c r="F312">
        <v>1</v>
      </c>
      <c r="G312">
        <v>1</v>
      </c>
      <c r="H312">
        <v>3</v>
      </c>
      <c r="I312" t="s">
        <v>860</v>
      </c>
      <c r="J312" t="s">
        <v>861</v>
      </c>
      <c r="K312" t="s">
        <v>862</v>
      </c>
      <c r="L312">
        <v>1348</v>
      </c>
      <c r="N312">
        <v>1009</v>
      </c>
      <c r="O312" t="s">
        <v>170</v>
      </c>
      <c r="P312" t="s">
        <v>170</v>
      </c>
      <c r="Q312">
        <v>1000</v>
      </c>
      <c r="W312">
        <v>0</v>
      </c>
      <c r="X312">
        <v>1152755346</v>
      </c>
      <c r="Y312">
        <f t="shared" si="120"/>
        <v>1E-4</v>
      </c>
      <c r="AA312">
        <v>119227.52</v>
      </c>
      <c r="AB312">
        <v>0</v>
      </c>
      <c r="AC312">
        <v>0</v>
      </c>
      <c r="AD312">
        <v>0</v>
      </c>
      <c r="AE312">
        <v>7712</v>
      </c>
      <c r="AF312">
        <v>0</v>
      </c>
      <c r="AG312">
        <v>0</v>
      </c>
      <c r="AH312">
        <v>0</v>
      </c>
      <c r="AI312">
        <v>15.46</v>
      </c>
      <c r="AJ312">
        <v>1</v>
      </c>
      <c r="AK312">
        <v>1</v>
      </c>
      <c r="AL312">
        <v>1</v>
      </c>
      <c r="AM312">
        <v>2</v>
      </c>
      <c r="AN312">
        <v>0</v>
      </c>
      <c r="AO312">
        <v>1</v>
      </c>
      <c r="AP312">
        <v>1</v>
      </c>
      <c r="AQ312">
        <v>0</v>
      </c>
      <c r="AR312">
        <v>0</v>
      </c>
      <c r="AS312" t="s">
        <v>3</v>
      </c>
      <c r="AT312">
        <v>1E-4</v>
      </c>
      <c r="AU312" t="s">
        <v>3</v>
      </c>
      <c r="AV312">
        <v>0</v>
      </c>
      <c r="AW312">
        <v>2</v>
      </c>
      <c r="AX312">
        <v>94801687</v>
      </c>
      <c r="AY312">
        <v>1</v>
      </c>
      <c r="AZ312">
        <v>0</v>
      </c>
      <c r="BA312">
        <v>312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V312">
        <v>0</v>
      </c>
      <c r="CW312">
        <v>0</v>
      </c>
      <c r="CX312">
        <f>ROUND(Y312*Source!I328,9)</f>
        <v>2.9119999999999999E-5</v>
      </c>
      <c r="CY312">
        <f t="shared" si="130"/>
        <v>119227.52</v>
      </c>
      <c r="CZ312">
        <f t="shared" si="131"/>
        <v>7712</v>
      </c>
      <c r="DA312">
        <f t="shared" si="132"/>
        <v>15.46</v>
      </c>
      <c r="DB312">
        <f t="shared" si="121"/>
        <v>0.77</v>
      </c>
      <c r="DC312">
        <f t="shared" si="122"/>
        <v>0</v>
      </c>
      <c r="DD312" t="s">
        <v>3</v>
      </c>
      <c r="DE312" t="s">
        <v>3</v>
      </c>
      <c r="DF312">
        <f t="shared" si="133"/>
        <v>3.47</v>
      </c>
      <c r="DG312">
        <f t="shared" si="134"/>
        <v>0</v>
      </c>
      <c r="DH312">
        <f t="shared" si="135"/>
        <v>0</v>
      </c>
      <c r="DI312">
        <f t="shared" si="115"/>
        <v>0</v>
      </c>
      <c r="DJ312">
        <f t="shared" si="136"/>
        <v>3.47</v>
      </c>
      <c r="DK312">
        <v>0</v>
      </c>
      <c r="DL312" t="s">
        <v>3</v>
      </c>
      <c r="DM312">
        <v>0</v>
      </c>
      <c r="DN312" t="s">
        <v>3</v>
      </c>
      <c r="DO312">
        <v>0</v>
      </c>
    </row>
    <row r="313" spans="1:119" x14ac:dyDescent="0.2">
      <c r="A313">
        <f>ROW(Source!A328)</f>
        <v>328</v>
      </c>
      <c r="B313">
        <v>94798619</v>
      </c>
      <c r="C313">
        <v>94801576</v>
      </c>
      <c r="D313">
        <v>37750153</v>
      </c>
      <c r="E313">
        <v>1</v>
      </c>
      <c r="F313">
        <v>1</v>
      </c>
      <c r="G313">
        <v>1</v>
      </c>
      <c r="H313">
        <v>3</v>
      </c>
      <c r="I313" t="s">
        <v>256</v>
      </c>
      <c r="J313" t="s">
        <v>258</v>
      </c>
      <c r="K313" t="s">
        <v>257</v>
      </c>
      <c r="L313">
        <v>1348</v>
      </c>
      <c r="N313">
        <v>1009</v>
      </c>
      <c r="O313" t="s">
        <v>170</v>
      </c>
      <c r="P313" t="s">
        <v>170</v>
      </c>
      <c r="Q313">
        <v>1000</v>
      </c>
      <c r="W313">
        <v>0</v>
      </c>
      <c r="X313">
        <v>-494558740</v>
      </c>
      <c r="Y313">
        <f t="shared" si="120"/>
        <v>1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1</v>
      </c>
      <c r="AJ313">
        <v>1</v>
      </c>
      <c r="AK313">
        <v>1</v>
      </c>
      <c r="AL313">
        <v>1</v>
      </c>
      <c r="AM313">
        <v>0</v>
      </c>
      <c r="AN313">
        <v>0</v>
      </c>
      <c r="AO313">
        <v>0</v>
      </c>
      <c r="AP313">
        <v>1</v>
      </c>
      <c r="AQ313">
        <v>0</v>
      </c>
      <c r="AR313">
        <v>0</v>
      </c>
      <c r="AS313" t="s">
        <v>3</v>
      </c>
      <c r="AT313">
        <v>1</v>
      </c>
      <c r="AU313" t="s">
        <v>3</v>
      </c>
      <c r="AV313">
        <v>0</v>
      </c>
      <c r="AW313">
        <v>2</v>
      </c>
      <c r="AX313">
        <v>94801688</v>
      </c>
      <c r="AY313">
        <v>1</v>
      </c>
      <c r="AZ313">
        <v>0</v>
      </c>
      <c r="BA313">
        <v>313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V313">
        <v>0</v>
      </c>
      <c r="CW313">
        <v>0</v>
      </c>
      <c r="CX313">
        <f>ROUND(Y313*Source!I328,9)</f>
        <v>0.29120000000000001</v>
      </c>
      <c r="CY313">
        <f t="shared" si="130"/>
        <v>0</v>
      </c>
      <c r="CZ313">
        <f t="shared" si="131"/>
        <v>0</v>
      </c>
      <c r="DA313">
        <f t="shared" si="132"/>
        <v>1</v>
      </c>
      <c r="DB313">
        <f t="shared" si="121"/>
        <v>0</v>
      </c>
      <c r="DC313">
        <f t="shared" si="122"/>
        <v>0</v>
      </c>
      <c r="DD313" t="s">
        <v>3</v>
      </c>
      <c r="DE313" t="s">
        <v>3</v>
      </c>
      <c r="DF313">
        <f>ROUND(ROUND(AE313,2)*CX313,2)</f>
        <v>0</v>
      </c>
      <c r="DG313">
        <f t="shared" si="134"/>
        <v>0</v>
      </c>
      <c r="DH313">
        <f t="shared" si="135"/>
        <v>0</v>
      </c>
      <c r="DI313">
        <f t="shared" si="115"/>
        <v>0</v>
      </c>
      <c r="DJ313">
        <f t="shared" si="136"/>
        <v>0</v>
      </c>
      <c r="DK313">
        <v>0</v>
      </c>
      <c r="DL313" t="s">
        <v>3</v>
      </c>
      <c r="DM313">
        <v>0</v>
      </c>
      <c r="DN313" t="s">
        <v>3</v>
      </c>
      <c r="DO313">
        <v>0</v>
      </c>
    </row>
    <row r="314" spans="1:119" x14ac:dyDescent="0.2">
      <c r="A314">
        <f>ROW(Source!A328)</f>
        <v>328</v>
      </c>
      <c r="B314">
        <v>94798619</v>
      </c>
      <c r="C314">
        <v>94801576</v>
      </c>
      <c r="D314">
        <v>37790931</v>
      </c>
      <c r="E314">
        <v>1</v>
      </c>
      <c r="F314">
        <v>1</v>
      </c>
      <c r="G314">
        <v>1</v>
      </c>
      <c r="H314">
        <v>3</v>
      </c>
      <c r="I314" t="s">
        <v>863</v>
      </c>
      <c r="J314" t="s">
        <v>864</v>
      </c>
      <c r="K314" t="s">
        <v>865</v>
      </c>
      <c r="L314">
        <v>1302</v>
      </c>
      <c r="N314">
        <v>1003</v>
      </c>
      <c r="O314" t="s">
        <v>866</v>
      </c>
      <c r="P314" t="s">
        <v>866</v>
      </c>
      <c r="Q314">
        <v>10</v>
      </c>
      <c r="W314">
        <v>0</v>
      </c>
      <c r="X314">
        <v>-802941189</v>
      </c>
      <c r="Y314">
        <f t="shared" si="120"/>
        <v>1.8700000000000001E-2</v>
      </c>
      <c r="AA314">
        <v>251.68</v>
      </c>
      <c r="AB314">
        <v>0</v>
      </c>
      <c r="AC314">
        <v>0</v>
      </c>
      <c r="AD314">
        <v>0</v>
      </c>
      <c r="AE314">
        <v>71.5</v>
      </c>
      <c r="AF314">
        <v>0</v>
      </c>
      <c r="AG314">
        <v>0</v>
      </c>
      <c r="AH314">
        <v>0</v>
      </c>
      <c r="AI314">
        <v>3.52</v>
      </c>
      <c r="AJ314">
        <v>1</v>
      </c>
      <c r="AK314">
        <v>1</v>
      </c>
      <c r="AL314">
        <v>1</v>
      </c>
      <c r="AM314">
        <v>2</v>
      </c>
      <c r="AN314">
        <v>0</v>
      </c>
      <c r="AO314">
        <v>1</v>
      </c>
      <c r="AP314">
        <v>1</v>
      </c>
      <c r="AQ314">
        <v>0</v>
      </c>
      <c r="AR314">
        <v>0</v>
      </c>
      <c r="AS314" t="s">
        <v>3</v>
      </c>
      <c r="AT314">
        <v>1.8700000000000001E-2</v>
      </c>
      <c r="AU314" t="s">
        <v>3</v>
      </c>
      <c r="AV314">
        <v>0</v>
      </c>
      <c r="AW314">
        <v>2</v>
      </c>
      <c r="AX314">
        <v>94801689</v>
      </c>
      <c r="AY314">
        <v>1</v>
      </c>
      <c r="AZ314">
        <v>0</v>
      </c>
      <c r="BA314">
        <v>314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V314">
        <v>0</v>
      </c>
      <c r="CW314">
        <v>0</v>
      </c>
      <c r="CX314">
        <f>ROUND(Y314*Source!I328,9)</f>
        <v>5.4454400000000002E-3</v>
      </c>
      <c r="CY314">
        <f t="shared" si="130"/>
        <v>251.68</v>
      </c>
      <c r="CZ314">
        <f t="shared" si="131"/>
        <v>71.5</v>
      </c>
      <c r="DA314">
        <f t="shared" si="132"/>
        <v>3.52</v>
      </c>
      <c r="DB314">
        <f t="shared" si="121"/>
        <v>1.34</v>
      </c>
      <c r="DC314">
        <f t="shared" si="122"/>
        <v>0</v>
      </c>
      <c r="DD314" t="s">
        <v>3</v>
      </c>
      <c r="DE314" t="s">
        <v>3</v>
      </c>
      <c r="DF314">
        <f>ROUND(ROUND(AE314*AI314,2)*CX314,2)</f>
        <v>1.37</v>
      </c>
      <c r="DG314">
        <f t="shared" si="134"/>
        <v>0</v>
      </c>
      <c r="DH314">
        <f t="shared" si="135"/>
        <v>0</v>
      </c>
      <c r="DI314">
        <f t="shared" si="115"/>
        <v>0</v>
      </c>
      <c r="DJ314">
        <f t="shared" si="136"/>
        <v>1.37</v>
      </c>
      <c r="DK314">
        <v>0</v>
      </c>
      <c r="DL314" t="s">
        <v>3</v>
      </c>
      <c r="DM314">
        <v>0</v>
      </c>
      <c r="DN314" t="s">
        <v>3</v>
      </c>
      <c r="DO314">
        <v>0</v>
      </c>
    </row>
    <row r="315" spans="1:119" x14ac:dyDescent="0.2">
      <c r="A315">
        <f>ROW(Source!A331)</f>
        <v>331</v>
      </c>
      <c r="B315">
        <v>94798619</v>
      </c>
      <c r="C315">
        <v>94801691</v>
      </c>
      <c r="D315">
        <v>23134955</v>
      </c>
      <c r="E315">
        <v>1</v>
      </c>
      <c r="F315">
        <v>1</v>
      </c>
      <c r="G315">
        <v>1</v>
      </c>
      <c r="H315">
        <v>1</v>
      </c>
      <c r="I315" t="s">
        <v>772</v>
      </c>
      <c r="J315" t="s">
        <v>3</v>
      </c>
      <c r="K315" t="s">
        <v>773</v>
      </c>
      <c r="L315">
        <v>1369</v>
      </c>
      <c r="N315">
        <v>1013</v>
      </c>
      <c r="O315" t="s">
        <v>696</v>
      </c>
      <c r="P315" t="s">
        <v>696</v>
      </c>
      <c r="Q315">
        <v>1</v>
      </c>
      <c r="W315">
        <v>0</v>
      </c>
      <c r="X315">
        <v>-1698459243</v>
      </c>
      <c r="Y315">
        <f t="shared" si="120"/>
        <v>35.5</v>
      </c>
      <c r="AA315">
        <v>0</v>
      </c>
      <c r="AB315">
        <v>0</v>
      </c>
      <c r="AC315">
        <v>0</v>
      </c>
      <c r="AD315">
        <v>8.17</v>
      </c>
      <c r="AE315">
        <v>0</v>
      </c>
      <c r="AF315">
        <v>0</v>
      </c>
      <c r="AG315">
        <v>0</v>
      </c>
      <c r="AH315">
        <v>8.17</v>
      </c>
      <c r="AI315">
        <v>1</v>
      </c>
      <c r="AJ315">
        <v>1</v>
      </c>
      <c r="AK315">
        <v>1</v>
      </c>
      <c r="AL315">
        <v>1</v>
      </c>
      <c r="AM315">
        <v>-2</v>
      </c>
      <c r="AN315">
        <v>0</v>
      </c>
      <c r="AO315">
        <v>1</v>
      </c>
      <c r="AP315">
        <v>1</v>
      </c>
      <c r="AQ315">
        <v>0</v>
      </c>
      <c r="AR315">
        <v>0</v>
      </c>
      <c r="AS315" t="s">
        <v>3</v>
      </c>
      <c r="AT315">
        <v>35.5</v>
      </c>
      <c r="AU315" t="s">
        <v>3</v>
      </c>
      <c r="AV315">
        <v>1</v>
      </c>
      <c r="AW315">
        <v>2</v>
      </c>
      <c r="AX315">
        <v>94801692</v>
      </c>
      <c r="AY315">
        <v>1</v>
      </c>
      <c r="AZ315">
        <v>0</v>
      </c>
      <c r="BA315">
        <v>315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U315">
        <f>ROUND(AT315*Source!I331*AH315*AL315,2)</f>
        <v>69.61</v>
      </c>
      <c r="CV315">
        <f>ROUND(Y315*Source!I331,9)</f>
        <v>8.52</v>
      </c>
      <c r="CW315">
        <v>0</v>
      </c>
      <c r="CX315">
        <f>ROUND(Y315*Source!I331,9)</f>
        <v>8.52</v>
      </c>
      <c r="CY315">
        <f>AD315</f>
        <v>8.17</v>
      </c>
      <c r="CZ315">
        <f>AH315</f>
        <v>8.17</v>
      </c>
      <c r="DA315">
        <f>AL315</f>
        <v>1</v>
      </c>
      <c r="DB315">
        <f t="shared" si="121"/>
        <v>290.04000000000002</v>
      </c>
      <c r="DC315">
        <f t="shared" si="122"/>
        <v>0</v>
      </c>
      <c r="DD315" t="s">
        <v>3</v>
      </c>
      <c r="DE315" t="s">
        <v>3</v>
      </c>
      <c r="DF315">
        <f t="shared" ref="DF315:DF325" si="137">ROUND(ROUND(AE315,2)*CX315,2)</f>
        <v>0</v>
      </c>
      <c r="DG315">
        <f t="shared" si="134"/>
        <v>0</v>
      </c>
      <c r="DH315">
        <f t="shared" si="135"/>
        <v>0</v>
      </c>
      <c r="DI315">
        <f t="shared" si="115"/>
        <v>69.61</v>
      </c>
      <c r="DJ315">
        <f>DI315</f>
        <v>69.61</v>
      </c>
      <c r="DK315">
        <v>0</v>
      </c>
      <c r="DL315" t="s">
        <v>3</v>
      </c>
      <c r="DM315">
        <v>0</v>
      </c>
      <c r="DN315" t="s">
        <v>3</v>
      </c>
      <c r="DO315">
        <v>0</v>
      </c>
    </row>
    <row r="316" spans="1:119" x14ac:dyDescent="0.2">
      <c r="A316">
        <f>ROW(Source!A331)</f>
        <v>331</v>
      </c>
      <c r="B316">
        <v>94798619</v>
      </c>
      <c r="C316">
        <v>94801691</v>
      </c>
      <c r="D316">
        <v>121548</v>
      </c>
      <c r="E316">
        <v>1</v>
      </c>
      <c r="F316">
        <v>1</v>
      </c>
      <c r="G316">
        <v>1</v>
      </c>
      <c r="H316">
        <v>1</v>
      </c>
      <c r="I316" t="s">
        <v>28</v>
      </c>
      <c r="J316" t="s">
        <v>3</v>
      </c>
      <c r="K316" t="s">
        <v>705</v>
      </c>
      <c r="L316">
        <v>608254</v>
      </c>
      <c r="N316">
        <v>1013</v>
      </c>
      <c r="O316" t="s">
        <v>706</v>
      </c>
      <c r="P316" t="s">
        <v>706</v>
      </c>
      <c r="Q316">
        <v>1</v>
      </c>
      <c r="W316">
        <v>0</v>
      </c>
      <c r="X316">
        <v>-185737400</v>
      </c>
      <c r="Y316">
        <f t="shared" si="120"/>
        <v>2.61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1</v>
      </c>
      <c r="AL316">
        <v>1</v>
      </c>
      <c r="AM316">
        <v>-2</v>
      </c>
      <c r="AN316">
        <v>0</v>
      </c>
      <c r="AO316">
        <v>1</v>
      </c>
      <c r="AP316">
        <v>1</v>
      </c>
      <c r="AQ316">
        <v>0</v>
      </c>
      <c r="AR316">
        <v>0</v>
      </c>
      <c r="AS316" t="s">
        <v>3</v>
      </c>
      <c r="AT316">
        <v>2.61</v>
      </c>
      <c r="AU316" t="s">
        <v>3</v>
      </c>
      <c r="AV316">
        <v>2</v>
      </c>
      <c r="AW316">
        <v>2</v>
      </c>
      <c r="AX316">
        <v>94801693</v>
      </c>
      <c r="AY316">
        <v>1</v>
      </c>
      <c r="AZ316">
        <v>0</v>
      </c>
      <c r="BA316">
        <v>316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V316">
        <v>0</v>
      </c>
      <c r="CW316">
        <v>0</v>
      </c>
      <c r="CX316">
        <f>ROUND(Y316*Source!I331,9)</f>
        <v>0.62639999999999996</v>
      </c>
      <c r="CY316">
        <f>AD316</f>
        <v>0</v>
      </c>
      <c r="CZ316">
        <f>AH316</f>
        <v>0</v>
      </c>
      <c r="DA316">
        <f>AL316</f>
        <v>1</v>
      </c>
      <c r="DB316">
        <f t="shared" si="121"/>
        <v>0</v>
      </c>
      <c r="DC316">
        <f t="shared" si="122"/>
        <v>0</v>
      </c>
      <c r="DD316" t="s">
        <v>3</v>
      </c>
      <c r="DE316" t="s">
        <v>3</v>
      </c>
      <c r="DF316">
        <f t="shared" si="137"/>
        <v>0</v>
      </c>
      <c r="DG316">
        <f t="shared" si="134"/>
        <v>0</v>
      </c>
      <c r="DH316">
        <f t="shared" si="135"/>
        <v>0</v>
      </c>
      <c r="DI316">
        <f t="shared" si="115"/>
        <v>0</v>
      </c>
      <c r="DJ316">
        <f>DI316</f>
        <v>0</v>
      </c>
      <c r="DK316">
        <v>0</v>
      </c>
      <c r="DL316" t="s">
        <v>3</v>
      </c>
      <c r="DM316">
        <v>0</v>
      </c>
      <c r="DN316" t="s">
        <v>3</v>
      </c>
      <c r="DO316">
        <v>0</v>
      </c>
    </row>
    <row r="317" spans="1:119" x14ac:dyDescent="0.2">
      <c r="A317">
        <f>ROW(Source!A331)</f>
        <v>331</v>
      </c>
      <c r="B317">
        <v>94798619</v>
      </c>
      <c r="C317">
        <v>94801691</v>
      </c>
      <c r="D317">
        <v>37802375</v>
      </c>
      <c r="E317">
        <v>1</v>
      </c>
      <c r="F317">
        <v>1</v>
      </c>
      <c r="G317">
        <v>1</v>
      </c>
      <c r="H317">
        <v>2</v>
      </c>
      <c r="I317" t="s">
        <v>821</v>
      </c>
      <c r="J317" t="s">
        <v>822</v>
      </c>
      <c r="K317" t="s">
        <v>823</v>
      </c>
      <c r="L317">
        <v>1368</v>
      </c>
      <c r="N317">
        <v>1011</v>
      </c>
      <c r="O317" t="s">
        <v>700</v>
      </c>
      <c r="P317" t="s">
        <v>700</v>
      </c>
      <c r="Q317">
        <v>1</v>
      </c>
      <c r="W317">
        <v>0</v>
      </c>
      <c r="X317">
        <v>1827899330</v>
      </c>
      <c r="Y317">
        <f t="shared" si="120"/>
        <v>0.04</v>
      </c>
      <c r="AA317">
        <v>0</v>
      </c>
      <c r="AB317">
        <v>1791.92</v>
      </c>
      <c r="AC317">
        <v>486.02</v>
      </c>
      <c r="AD317">
        <v>0</v>
      </c>
      <c r="AE317">
        <v>0</v>
      </c>
      <c r="AF317">
        <v>159.85</v>
      </c>
      <c r="AG317">
        <v>13.78</v>
      </c>
      <c r="AH317">
        <v>0</v>
      </c>
      <c r="AI317">
        <v>1</v>
      </c>
      <c r="AJ317">
        <v>11.21</v>
      </c>
      <c r="AK317">
        <v>35.270000000000003</v>
      </c>
      <c r="AL317">
        <v>1</v>
      </c>
      <c r="AM317">
        <v>2</v>
      </c>
      <c r="AN317">
        <v>0</v>
      </c>
      <c r="AO317">
        <v>1</v>
      </c>
      <c r="AP317">
        <v>1</v>
      </c>
      <c r="AQ317">
        <v>0</v>
      </c>
      <c r="AR317">
        <v>0</v>
      </c>
      <c r="AS317" t="s">
        <v>3</v>
      </c>
      <c r="AT317">
        <v>0.04</v>
      </c>
      <c r="AU317" t="s">
        <v>3</v>
      </c>
      <c r="AV317">
        <v>0</v>
      </c>
      <c r="AW317">
        <v>2</v>
      </c>
      <c r="AX317">
        <v>94801694</v>
      </c>
      <c r="AY317">
        <v>1</v>
      </c>
      <c r="AZ317">
        <v>0</v>
      </c>
      <c r="BA317">
        <v>317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V317">
        <v>0</v>
      </c>
      <c r="CW317">
        <f>ROUND(Y317*Source!I331*DO317,9)</f>
        <v>0</v>
      </c>
      <c r="CX317">
        <f>ROUND(Y317*Source!I331,9)</f>
        <v>9.5999999999999992E-3</v>
      </c>
      <c r="CY317">
        <f t="shared" ref="CY317:CY325" si="138">AB317</f>
        <v>1791.92</v>
      </c>
      <c r="CZ317">
        <f t="shared" ref="CZ317:CZ325" si="139">AF317</f>
        <v>159.85</v>
      </c>
      <c r="DA317">
        <f t="shared" ref="DA317:DA325" si="140">AJ317</f>
        <v>11.21</v>
      </c>
      <c r="DB317">
        <f t="shared" si="121"/>
        <v>6.39</v>
      </c>
      <c r="DC317">
        <f t="shared" si="122"/>
        <v>0.55000000000000004</v>
      </c>
      <c r="DD317" t="s">
        <v>3</v>
      </c>
      <c r="DE317" t="s">
        <v>3</v>
      </c>
      <c r="DF317">
        <f t="shared" si="137"/>
        <v>0</v>
      </c>
      <c r="DG317">
        <f t="shared" ref="DG317:DG325" si="141">ROUND(ROUND(AF317*AJ317,2)*CX317,2)</f>
        <v>17.2</v>
      </c>
      <c r="DH317">
        <f t="shared" ref="DH317:DH325" si="142">ROUND(ROUND(AG317*AK317,2)*CX317,2)</f>
        <v>4.67</v>
      </c>
      <c r="DI317">
        <f t="shared" si="115"/>
        <v>0</v>
      </c>
      <c r="DJ317">
        <f t="shared" ref="DJ317:DJ325" si="143">DG317</f>
        <v>17.2</v>
      </c>
      <c r="DK317">
        <v>0</v>
      </c>
      <c r="DL317" t="s">
        <v>3</v>
      </c>
      <c r="DM317">
        <v>0</v>
      </c>
      <c r="DN317" t="s">
        <v>3</v>
      </c>
      <c r="DO317">
        <v>0</v>
      </c>
    </row>
    <row r="318" spans="1:119" x14ac:dyDescent="0.2">
      <c r="A318">
        <f>ROW(Source!A331)</f>
        <v>331</v>
      </c>
      <c r="B318">
        <v>94798619</v>
      </c>
      <c r="C318">
        <v>94801691</v>
      </c>
      <c r="D318">
        <v>37802443</v>
      </c>
      <c r="E318">
        <v>1</v>
      </c>
      <c r="F318">
        <v>1</v>
      </c>
      <c r="G318">
        <v>1</v>
      </c>
      <c r="H318">
        <v>2</v>
      </c>
      <c r="I318" t="s">
        <v>721</v>
      </c>
      <c r="J318" t="s">
        <v>722</v>
      </c>
      <c r="K318" t="s">
        <v>723</v>
      </c>
      <c r="L318">
        <v>1368</v>
      </c>
      <c r="N318">
        <v>1011</v>
      </c>
      <c r="O318" t="s">
        <v>700</v>
      </c>
      <c r="P318" t="s">
        <v>700</v>
      </c>
      <c r="Q318">
        <v>1</v>
      </c>
      <c r="W318">
        <v>0</v>
      </c>
      <c r="X318">
        <v>1447433125</v>
      </c>
      <c r="Y318">
        <f t="shared" si="120"/>
        <v>0.21</v>
      </c>
      <c r="AA318">
        <v>0</v>
      </c>
      <c r="AB318">
        <v>1453.68</v>
      </c>
      <c r="AC318">
        <v>426.77</v>
      </c>
      <c r="AD318">
        <v>0</v>
      </c>
      <c r="AE318">
        <v>0</v>
      </c>
      <c r="AF318">
        <v>124.14</v>
      </c>
      <c r="AG318">
        <v>12.1</v>
      </c>
      <c r="AH318">
        <v>0</v>
      </c>
      <c r="AI318">
        <v>1</v>
      </c>
      <c r="AJ318">
        <v>11.71</v>
      </c>
      <c r="AK318">
        <v>35.270000000000003</v>
      </c>
      <c r="AL318">
        <v>1</v>
      </c>
      <c r="AM318">
        <v>2</v>
      </c>
      <c r="AN318">
        <v>0</v>
      </c>
      <c r="AO318">
        <v>1</v>
      </c>
      <c r="AP318">
        <v>1</v>
      </c>
      <c r="AQ318">
        <v>0</v>
      </c>
      <c r="AR318">
        <v>0</v>
      </c>
      <c r="AS318" t="s">
        <v>3</v>
      </c>
      <c r="AT318">
        <v>0.21</v>
      </c>
      <c r="AU318" t="s">
        <v>3</v>
      </c>
      <c r="AV318">
        <v>0</v>
      </c>
      <c r="AW318">
        <v>2</v>
      </c>
      <c r="AX318">
        <v>94801695</v>
      </c>
      <c r="AY318">
        <v>1</v>
      </c>
      <c r="AZ318">
        <v>0</v>
      </c>
      <c r="BA318">
        <v>318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V318">
        <v>0</v>
      </c>
      <c r="CW318">
        <f>ROUND(Y318*Source!I331*DO318,9)</f>
        <v>0</v>
      </c>
      <c r="CX318">
        <f>ROUND(Y318*Source!I331,9)</f>
        <v>5.04E-2</v>
      </c>
      <c r="CY318">
        <f t="shared" si="138"/>
        <v>1453.68</v>
      </c>
      <c r="CZ318">
        <f t="shared" si="139"/>
        <v>124.14</v>
      </c>
      <c r="DA318">
        <f t="shared" si="140"/>
        <v>11.71</v>
      </c>
      <c r="DB318">
        <f t="shared" si="121"/>
        <v>26.07</v>
      </c>
      <c r="DC318">
        <f t="shared" si="122"/>
        <v>2.54</v>
      </c>
      <c r="DD318" t="s">
        <v>3</v>
      </c>
      <c r="DE318" t="s">
        <v>3</v>
      </c>
      <c r="DF318">
        <f t="shared" si="137"/>
        <v>0</v>
      </c>
      <c r="DG318">
        <f t="shared" si="141"/>
        <v>73.27</v>
      </c>
      <c r="DH318">
        <f t="shared" si="142"/>
        <v>21.51</v>
      </c>
      <c r="DI318">
        <f t="shared" si="115"/>
        <v>0</v>
      </c>
      <c r="DJ318">
        <f t="shared" si="143"/>
        <v>73.27</v>
      </c>
      <c r="DK318">
        <v>0</v>
      </c>
      <c r="DL318" t="s">
        <v>3</v>
      </c>
      <c r="DM318">
        <v>0</v>
      </c>
      <c r="DN318" t="s">
        <v>3</v>
      </c>
      <c r="DO318">
        <v>0</v>
      </c>
    </row>
    <row r="319" spans="1:119" x14ac:dyDescent="0.2">
      <c r="A319">
        <f>ROW(Source!A331)</f>
        <v>331</v>
      </c>
      <c r="B319">
        <v>94798619</v>
      </c>
      <c r="C319">
        <v>94801691</v>
      </c>
      <c r="D319">
        <v>37802465</v>
      </c>
      <c r="E319">
        <v>1</v>
      </c>
      <c r="F319">
        <v>1</v>
      </c>
      <c r="G319">
        <v>1</v>
      </c>
      <c r="H319">
        <v>2</v>
      </c>
      <c r="I319" t="s">
        <v>920</v>
      </c>
      <c r="J319" t="s">
        <v>921</v>
      </c>
      <c r="K319" t="s">
        <v>922</v>
      </c>
      <c r="L319">
        <v>1368</v>
      </c>
      <c r="N319">
        <v>1011</v>
      </c>
      <c r="O319" t="s">
        <v>700</v>
      </c>
      <c r="P319" t="s">
        <v>700</v>
      </c>
      <c r="Q319">
        <v>1</v>
      </c>
      <c r="W319">
        <v>0</v>
      </c>
      <c r="X319">
        <v>-634994428</v>
      </c>
      <c r="Y319">
        <f t="shared" si="120"/>
        <v>2.36</v>
      </c>
      <c r="AA319">
        <v>0</v>
      </c>
      <c r="AB319">
        <v>2397.4899999999998</v>
      </c>
      <c r="AC319">
        <v>454.98</v>
      </c>
      <c r="AD319">
        <v>0</v>
      </c>
      <c r="AE319">
        <v>0</v>
      </c>
      <c r="AF319">
        <v>187.45</v>
      </c>
      <c r="AG319">
        <v>12.9</v>
      </c>
      <c r="AH319">
        <v>0</v>
      </c>
      <c r="AI319">
        <v>1</v>
      </c>
      <c r="AJ319">
        <v>12.79</v>
      </c>
      <c r="AK319">
        <v>35.270000000000003</v>
      </c>
      <c r="AL319">
        <v>1</v>
      </c>
      <c r="AM319">
        <v>2</v>
      </c>
      <c r="AN319">
        <v>0</v>
      </c>
      <c r="AO319">
        <v>1</v>
      </c>
      <c r="AP319">
        <v>1</v>
      </c>
      <c r="AQ319">
        <v>0</v>
      </c>
      <c r="AR319">
        <v>0</v>
      </c>
      <c r="AS319" t="s">
        <v>3</v>
      </c>
      <c r="AT319">
        <v>2.36</v>
      </c>
      <c r="AU319" t="s">
        <v>3</v>
      </c>
      <c r="AV319">
        <v>0</v>
      </c>
      <c r="AW319">
        <v>2</v>
      </c>
      <c r="AX319">
        <v>94801696</v>
      </c>
      <c r="AY319">
        <v>1</v>
      </c>
      <c r="AZ319">
        <v>0</v>
      </c>
      <c r="BA319">
        <v>319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V319">
        <v>0</v>
      </c>
      <c r="CW319">
        <f>ROUND(Y319*Source!I331*DO319,9)</f>
        <v>0</v>
      </c>
      <c r="CX319">
        <f>ROUND(Y319*Source!I331,9)</f>
        <v>0.56640000000000001</v>
      </c>
      <c r="CY319">
        <f t="shared" si="138"/>
        <v>2397.4899999999998</v>
      </c>
      <c r="CZ319">
        <f t="shared" si="139"/>
        <v>187.45</v>
      </c>
      <c r="DA319">
        <f t="shared" si="140"/>
        <v>12.79</v>
      </c>
      <c r="DB319">
        <f t="shared" si="121"/>
        <v>442.38</v>
      </c>
      <c r="DC319">
        <f t="shared" si="122"/>
        <v>30.44</v>
      </c>
      <c r="DD319" t="s">
        <v>3</v>
      </c>
      <c r="DE319" t="s">
        <v>3</v>
      </c>
      <c r="DF319">
        <f t="shared" si="137"/>
        <v>0</v>
      </c>
      <c r="DG319">
        <f t="shared" si="141"/>
        <v>1357.94</v>
      </c>
      <c r="DH319">
        <f t="shared" si="142"/>
        <v>257.7</v>
      </c>
      <c r="DI319">
        <f t="shared" si="115"/>
        <v>0</v>
      </c>
      <c r="DJ319">
        <f t="shared" si="143"/>
        <v>1357.94</v>
      </c>
      <c r="DK319">
        <v>0</v>
      </c>
      <c r="DL319" t="s">
        <v>3</v>
      </c>
      <c r="DM319">
        <v>0</v>
      </c>
      <c r="DN319" t="s">
        <v>3</v>
      </c>
      <c r="DO319">
        <v>0</v>
      </c>
    </row>
    <row r="320" spans="1:119" x14ac:dyDescent="0.2">
      <c r="A320">
        <f>ROW(Source!A331)</f>
        <v>331</v>
      </c>
      <c r="B320">
        <v>94798619</v>
      </c>
      <c r="C320">
        <v>94801691</v>
      </c>
      <c r="D320">
        <v>37802530</v>
      </c>
      <c r="E320">
        <v>1</v>
      </c>
      <c r="F320">
        <v>1</v>
      </c>
      <c r="G320">
        <v>1</v>
      </c>
      <c r="H320">
        <v>2</v>
      </c>
      <c r="I320" t="s">
        <v>827</v>
      </c>
      <c r="J320" t="s">
        <v>828</v>
      </c>
      <c r="K320" t="s">
        <v>829</v>
      </c>
      <c r="L320">
        <v>1368</v>
      </c>
      <c r="N320">
        <v>1011</v>
      </c>
      <c r="O320" t="s">
        <v>700</v>
      </c>
      <c r="P320" t="s">
        <v>700</v>
      </c>
      <c r="Q320">
        <v>1</v>
      </c>
      <c r="W320">
        <v>0</v>
      </c>
      <c r="X320">
        <v>11972859</v>
      </c>
      <c r="Y320">
        <f t="shared" si="120"/>
        <v>0.99</v>
      </c>
      <c r="AA320">
        <v>0</v>
      </c>
      <c r="AB320">
        <v>8.09</v>
      </c>
      <c r="AC320">
        <v>0</v>
      </c>
      <c r="AD320">
        <v>0</v>
      </c>
      <c r="AE320">
        <v>0</v>
      </c>
      <c r="AF320">
        <v>1.52</v>
      </c>
      <c r="AG320">
        <v>0</v>
      </c>
      <c r="AH320">
        <v>0</v>
      </c>
      <c r="AI320">
        <v>1</v>
      </c>
      <c r="AJ320">
        <v>5.32</v>
      </c>
      <c r="AK320">
        <v>35.270000000000003</v>
      </c>
      <c r="AL320">
        <v>1</v>
      </c>
      <c r="AM320">
        <v>2</v>
      </c>
      <c r="AN320">
        <v>0</v>
      </c>
      <c r="AO320">
        <v>1</v>
      </c>
      <c r="AP320">
        <v>1</v>
      </c>
      <c r="AQ320">
        <v>0</v>
      </c>
      <c r="AR320">
        <v>0</v>
      </c>
      <c r="AS320" t="s">
        <v>3</v>
      </c>
      <c r="AT320">
        <v>0.99</v>
      </c>
      <c r="AU320" t="s">
        <v>3</v>
      </c>
      <c r="AV320">
        <v>0</v>
      </c>
      <c r="AW320">
        <v>2</v>
      </c>
      <c r="AX320">
        <v>94801697</v>
      </c>
      <c r="AY320">
        <v>1</v>
      </c>
      <c r="AZ320">
        <v>0</v>
      </c>
      <c r="BA320">
        <v>320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V320">
        <v>0</v>
      </c>
      <c r="CW320">
        <f>ROUND(Y320*Source!I331*DO320,9)</f>
        <v>0</v>
      </c>
      <c r="CX320">
        <f>ROUND(Y320*Source!I331,9)</f>
        <v>0.23760000000000001</v>
      </c>
      <c r="CY320">
        <f t="shared" si="138"/>
        <v>8.09</v>
      </c>
      <c r="CZ320">
        <f t="shared" si="139"/>
        <v>1.52</v>
      </c>
      <c r="DA320">
        <f t="shared" si="140"/>
        <v>5.32</v>
      </c>
      <c r="DB320">
        <f t="shared" si="121"/>
        <v>1.5</v>
      </c>
      <c r="DC320">
        <f t="shared" si="122"/>
        <v>0</v>
      </c>
      <c r="DD320" t="s">
        <v>3</v>
      </c>
      <c r="DE320" t="s">
        <v>3</v>
      </c>
      <c r="DF320">
        <f t="shared" si="137"/>
        <v>0</v>
      </c>
      <c r="DG320">
        <f t="shared" si="141"/>
        <v>1.92</v>
      </c>
      <c r="DH320">
        <f t="shared" si="142"/>
        <v>0</v>
      </c>
      <c r="DI320">
        <f t="shared" si="115"/>
        <v>0</v>
      </c>
      <c r="DJ320">
        <f t="shared" si="143"/>
        <v>1.92</v>
      </c>
      <c r="DK320">
        <v>0</v>
      </c>
      <c r="DL320" t="s">
        <v>3</v>
      </c>
      <c r="DM320">
        <v>0</v>
      </c>
      <c r="DN320" t="s">
        <v>3</v>
      </c>
      <c r="DO320">
        <v>0</v>
      </c>
    </row>
    <row r="321" spans="1:119" x14ac:dyDescent="0.2">
      <c r="A321">
        <f>ROW(Source!A331)</f>
        <v>331</v>
      </c>
      <c r="B321">
        <v>94798619</v>
      </c>
      <c r="C321">
        <v>94801691</v>
      </c>
      <c r="D321">
        <v>37802659</v>
      </c>
      <c r="E321">
        <v>1</v>
      </c>
      <c r="F321">
        <v>1</v>
      </c>
      <c r="G321">
        <v>1</v>
      </c>
      <c r="H321">
        <v>2</v>
      </c>
      <c r="I321" t="s">
        <v>777</v>
      </c>
      <c r="J321" t="s">
        <v>778</v>
      </c>
      <c r="K321" t="s">
        <v>779</v>
      </c>
      <c r="L321">
        <v>1368</v>
      </c>
      <c r="N321">
        <v>1011</v>
      </c>
      <c r="O321" t="s">
        <v>700</v>
      </c>
      <c r="P321" t="s">
        <v>700</v>
      </c>
      <c r="Q321">
        <v>1</v>
      </c>
      <c r="W321">
        <v>0</v>
      </c>
      <c r="X321">
        <v>4083802</v>
      </c>
      <c r="Y321">
        <f t="shared" si="120"/>
        <v>1.68</v>
      </c>
      <c r="AA321">
        <v>0</v>
      </c>
      <c r="AB321">
        <v>9.35</v>
      </c>
      <c r="AC321">
        <v>0</v>
      </c>
      <c r="AD321">
        <v>0</v>
      </c>
      <c r="AE321">
        <v>0</v>
      </c>
      <c r="AF321">
        <v>1.43</v>
      </c>
      <c r="AG321">
        <v>0</v>
      </c>
      <c r="AH321">
        <v>0</v>
      </c>
      <c r="AI321">
        <v>1</v>
      </c>
      <c r="AJ321">
        <v>6.54</v>
      </c>
      <c r="AK321">
        <v>35.270000000000003</v>
      </c>
      <c r="AL321">
        <v>1</v>
      </c>
      <c r="AM321">
        <v>2</v>
      </c>
      <c r="AN321">
        <v>0</v>
      </c>
      <c r="AO321">
        <v>1</v>
      </c>
      <c r="AP321">
        <v>1</v>
      </c>
      <c r="AQ321">
        <v>0</v>
      </c>
      <c r="AR321">
        <v>0</v>
      </c>
      <c r="AS321" t="s">
        <v>3</v>
      </c>
      <c r="AT321">
        <v>1.68</v>
      </c>
      <c r="AU321" t="s">
        <v>3</v>
      </c>
      <c r="AV321">
        <v>0</v>
      </c>
      <c r="AW321">
        <v>2</v>
      </c>
      <c r="AX321">
        <v>94801698</v>
      </c>
      <c r="AY321">
        <v>1</v>
      </c>
      <c r="AZ321">
        <v>0</v>
      </c>
      <c r="BA321">
        <v>321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V321">
        <v>0</v>
      </c>
      <c r="CW321">
        <f>ROUND(Y321*Source!I331*DO321,9)</f>
        <v>0</v>
      </c>
      <c r="CX321">
        <f>ROUND(Y321*Source!I331,9)</f>
        <v>0.4032</v>
      </c>
      <c r="CY321">
        <f t="shared" si="138"/>
        <v>9.35</v>
      </c>
      <c r="CZ321">
        <f t="shared" si="139"/>
        <v>1.43</v>
      </c>
      <c r="DA321">
        <f t="shared" si="140"/>
        <v>6.54</v>
      </c>
      <c r="DB321">
        <f t="shared" si="121"/>
        <v>2.4</v>
      </c>
      <c r="DC321">
        <f t="shared" si="122"/>
        <v>0</v>
      </c>
      <c r="DD321" t="s">
        <v>3</v>
      </c>
      <c r="DE321" t="s">
        <v>3</v>
      </c>
      <c r="DF321">
        <f t="shared" si="137"/>
        <v>0</v>
      </c>
      <c r="DG321">
        <f t="shared" si="141"/>
        <v>3.77</v>
      </c>
      <c r="DH321">
        <f t="shared" si="142"/>
        <v>0</v>
      </c>
      <c r="DI321">
        <f t="shared" ref="DI321:DI384" si="144">ROUND(ROUND(AH321,2)*CX321,2)</f>
        <v>0</v>
      </c>
      <c r="DJ321">
        <f t="shared" si="143"/>
        <v>3.77</v>
      </c>
      <c r="DK321">
        <v>0</v>
      </c>
      <c r="DL321" t="s">
        <v>3</v>
      </c>
      <c r="DM321">
        <v>0</v>
      </c>
      <c r="DN321" t="s">
        <v>3</v>
      </c>
      <c r="DO321">
        <v>0</v>
      </c>
    </row>
    <row r="322" spans="1:119" x14ac:dyDescent="0.2">
      <c r="A322">
        <f>ROW(Source!A331)</f>
        <v>331</v>
      </c>
      <c r="B322">
        <v>94798619</v>
      </c>
      <c r="C322">
        <v>94801691</v>
      </c>
      <c r="D322">
        <v>37802669</v>
      </c>
      <c r="E322">
        <v>1</v>
      </c>
      <c r="F322">
        <v>1</v>
      </c>
      <c r="G322">
        <v>1</v>
      </c>
      <c r="H322">
        <v>2</v>
      </c>
      <c r="I322" t="s">
        <v>833</v>
      </c>
      <c r="J322" t="s">
        <v>834</v>
      </c>
      <c r="K322" t="s">
        <v>835</v>
      </c>
      <c r="L322">
        <v>1368</v>
      </c>
      <c r="N322">
        <v>1011</v>
      </c>
      <c r="O322" t="s">
        <v>700</v>
      </c>
      <c r="P322" t="s">
        <v>700</v>
      </c>
      <c r="Q322">
        <v>1</v>
      </c>
      <c r="W322">
        <v>0</v>
      </c>
      <c r="X322">
        <v>1565869296</v>
      </c>
      <c r="Y322">
        <f t="shared" si="120"/>
        <v>0.18</v>
      </c>
      <c r="AA322">
        <v>0</v>
      </c>
      <c r="AB322">
        <v>116.79</v>
      </c>
      <c r="AC322">
        <v>0</v>
      </c>
      <c r="AD322">
        <v>0</v>
      </c>
      <c r="AE322">
        <v>0</v>
      </c>
      <c r="AF322">
        <v>9.6999999999999993</v>
      </c>
      <c r="AG322">
        <v>0</v>
      </c>
      <c r="AH322">
        <v>0</v>
      </c>
      <c r="AI322">
        <v>1</v>
      </c>
      <c r="AJ322">
        <v>12.04</v>
      </c>
      <c r="AK322">
        <v>35.270000000000003</v>
      </c>
      <c r="AL322">
        <v>1</v>
      </c>
      <c r="AM322">
        <v>2</v>
      </c>
      <c r="AN322">
        <v>0</v>
      </c>
      <c r="AO322">
        <v>1</v>
      </c>
      <c r="AP322">
        <v>1</v>
      </c>
      <c r="AQ322">
        <v>0</v>
      </c>
      <c r="AR322">
        <v>0</v>
      </c>
      <c r="AS322" t="s">
        <v>3</v>
      </c>
      <c r="AT322">
        <v>0.18</v>
      </c>
      <c r="AU322" t="s">
        <v>3</v>
      </c>
      <c r="AV322">
        <v>0</v>
      </c>
      <c r="AW322">
        <v>2</v>
      </c>
      <c r="AX322">
        <v>94801699</v>
      </c>
      <c r="AY322">
        <v>1</v>
      </c>
      <c r="AZ322">
        <v>0</v>
      </c>
      <c r="BA322">
        <v>322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V322">
        <v>0</v>
      </c>
      <c r="CW322">
        <f>ROUND(Y322*Source!I331*DO322,9)</f>
        <v>0</v>
      </c>
      <c r="CX322">
        <f>ROUND(Y322*Source!I331,9)</f>
        <v>4.3200000000000002E-2</v>
      </c>
      <c r="CY322">
        <f t="shared" si="138"/>
        <v>116.79</v>
      </c>
      <c r="CZ322">
        <f t="shared" si="139"/>
        <v>9.6999999999999993</v>
      </c>
      <c r="DA322">
        <f t="shared" si="140"/>
        <v>12.04</v>
      </c>
      <c r="DB322">
        <f t="shared" si="121"/>
        <v>1.75</v>
      </c>
      <c r="DC322">
        <f t="shared" si="122"/>
        <v>0</v>
      </c>
      <c r="DD322" t="s">
        <v>3</v>
      </c>
      <c r="DE322" t="s">
        <v>3</v>
      </c>
      <c r="DF322">
        <f t="shared" si="137"/>
        <v>0</v>
      </c>
      <c r="DG322">
        <f t="shared" si="141"/>
        <v>5.05</v>
      </c>
      <c r="DH322">
        <f t="shared" si="142"/>
        <v>0</v>
      </c>
      <c r="DI322">
        <f t="shared" si="144"/>
        <v>0</v>
      </c>
      <c r="DJ322">
        <f t="shared" si="143"/>
        <v>5.05</v>
      </c>
      <c r="DK322">
        <v>0</v>
      </c>
      <c r="DL322" t="s">
        <v>3</v>
      </c>
      <c r="DM322">
        <v>0</v>
      </c>
      <c r="DN322" t="s">
        <v>3</v>
      </c>
      <c r="DO322">
        <v>0</v>
      </c>
    </row>
    <row r="323" spans="1:119" x14ac:dyDescent="0.2">
      <c r="A323">
        <f>ROW(Source!A331)</f>
        <v>331</v>
      </c>
      <c r="B323">
        <v>94798619</v>
      </c>
      <c r="C323">
        <v>94801691</v>
      </c>
      <c r="D323">
        <v>37802676</v>
      </c>
      <c r="E323">
        <v>1</v>
      </c>
      <c r="F323">
        <v>1</v>
      </c>
      <c r="G323">
        <v>1</v>
      </c>
      <c r="H323">
        <v>2</v>
      </c>
      <c r="I323" t="s">
        <v>836</v>
      </c>
      <c r="J323" t="s">
        <v>837</v>
      </c>
      <c r="K323" t="s">
        <v>838</v>
      </c>
      <c r="L323">
        <v>1368</v>
      </c>
      <c r="N323">
        <v>1011</v>
      </c>
      <c r="O323" t="s">
        <v>700</v>
      </c>
      <c r="P323" t="s">
        <v>700</v>
      </c>
      <c r="Q323">
        <v>1</v>
      </c>
      <c r="W323">
        <v>0</v>
      </c>
      <c r="X323">
        <v>1535524603</v>
      </c>
      <c r="Y323">
        <f t="shared" si="120"/>
        <v>0.02</v>
      </c>
      <c r="AA323">
        <v>0</v>
      </c>
      <c r="AB323">
        <v>74.94</v>
      </c>
      <c r="AC323">
        <v>0</v>
      </c>
      <c r="AD323">
        <v>0</v>
      </c>
      <c r="AE323">
        <v>0</v>
      </c>
      <c r="AF323">
        <v>6.4</v>
      </c>
      <c r="AG323">
        <v>0</v>
      </c>
      <c r="AH323">
        <v>0</v>
      </c>
      <c r="AI323">
        <v>1</v>
      </c>
      <c r="AJ323">
        <v>11.71</v>
      </c>
      <c r="AK323">
        <v>35.270000000000003</v>
      </c>
      <c r="AL323">
        <v>1</v>
      </c>
      <c r="AM323">
        <v>2</v>
      </c>
      <c r="AN323">
        <v>0</v>
      </c>
      <c r="AO323">
        <v>1</v>
      </c>
      <c r="AP323">
        <v>1</v>
      </c>
      <c r="AQ323">
        <v>0</v>
      </c>
      <c r="AR323">
        <v>0</v>
      </c>
      <c r="AS323" t="s">
        <v>3</v>
      </c>
      <c r="AT323">
        <v>0.02</v>
      </c>
      <c r="AU323" t="s">
        <v>3</v>
      </c>
      <c r="AV323">
        <v>0</v>
      </c>
      <c r="AW323">
        <v>2</v>
      </c>
      <c r="AX323">
        <v>94801700</v>
      </c>
      <c r="AY323">
        <v>1</v>
      </c>
      <c r="AZ323">
        <v>0</v>
      </c>
      <c r="BA323">
        <v>323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V323">
        <v>0</v>
      </c>
      <c r="CW323">
        <f>ROUND(Y323*Source!I331*DO323,9)</f>
        <v>0</v>
      </c>
      <c r="CX323">
        <f>ROUND(Y323*Source!I331,9)</f>
        <v>4.7999999999999996E-3</v>
      </c>
      <c r="CY323">
        <f t="shared" si="138"/>
        <v>74.94</v>
      </c>
      <c r="CZ323">
        <f t="shared" si="139"/>
        <v>6.4</v>
      </c>
      <c r="DA323">
        <f t="shared" si="140"/>
        <v>11.71</v>
      </c>
      <c r="DB323">
        <f t="shared" si="121"/>
        <v>0.13</v>
      </c>
      <c r="DC323">
        <f t="shared" si="122"/>
        <v>0</v>
      </c>
      <c r="DD323" t="s">
        <v>3</v>
      </c>
      <c r="DE323" t="s">
        <v>3</v>
      </c>
      <c r="DF323">
        <f t="shared" si="137"/>
        <v>0</v>
      </c>
      <c r="DG323">
        <f t="shared" si="141"/>
        <v>0.36</v>
      </c>
      <c r="DH323">
        <f t="shared" si="142"/>
        <v>0</v>
      </c>
      <c r="DI323">
        <f t="shared" si="144"/>
        <v>0</v>
      </c>
      <c r="DJ323">
        <f t="shared" si="143"/>
        <v>0.36</v>
      </c>
      <c r="DK323">
        <v>0</v>
      </c>
      <c r="DL323" t="s">
        <v>3</v>
      </c>
      <c r="DM323">
        <v>0</v>
      </c>
      <c r="DN323" t="s">
        <v>3</v>
      </c>
      <c r="DO323">
        <v>0</v>
      </c>
    </row>
    <row r="324" spans="1:119" x14ac:dyDescent="0.2">
      <c r="A324">
        <f>ROW(Source!A331)</f>
        <v>331</v>
      </c>
      <c r="B324">
        <v>94798619</v>
      </c>
      <c r="C324">
        <v>94801691</v>
      </c>
      <c r="D324">
        <v>37804065</v>
      </c>
      <c r="E324">
        <v>1</v>
      </c>
      <c r="F324">
        <v>1</v>
      </c>
      <c r="G324">
        <v>1</v>
      </c>
      <c r="H324">
        <v>2</v>
      </c>
      <c r="I324" t="s">
        <v>797</v>
      </c>
      <c r="J324" t="s">
        <v>798</v>
      </c>
      <c r="K324" t="s">
        <v>799</v>
      </c>
      <c r="L324">
        <v>1368</v>
      </c>
      <c r="N324">
        <v>1011</v>
      </c>
      <c r="O324" t="s">
        <v>700</v>
      </c>
      <c r="P324" t="s">
        <v>700</v>
      </c>
      <c r="Q324">
        <v>1</v>
      </c>
      <c r="W324">
        <v>0</v>
      </c>
      <c r="X324">
        <v>835824343</v>
      </c>
      <c r="Y324">
        <f t="shared" si="120"/>
        <v>2.41</v>
      </c>
      <c r="AA324">
        <v>0</v>
      </c>
      <c r="AB324">
        <v>12.13</v>
      </c>
      <c r="AC324">
        <v>0</v>
      </c>
      <c r="AD324">
        <v>0</v>
      </c>
      <c r="AE324">
        <v>0</v>
      </c>
      <c r="AF324">
        <v>2.15</v>
      </c>
      <c r="AG324">
        <v>0</v>
      </c>
      <c r="AH324">
        <v>0</v>
      </c>
      <c r="AI324">
        <v>1</v>
      </c>
      <c r="AJ324">
        <v>5.64</v>
      </c>
      <c r="AK324">
        <v>35.270000000000003</v>
      </c>
      <c r="AL324">
        <v>1</v>
      </c>
      <c r="AM324">
        <v>2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3</v>
      </c>
      <c r="AT324">
        <v>2.41</v>
      </c>
      <c r="AU324" t="s">
        <v>3</v>
      </c>
      <c r="AV324">
        <v>0</v>
      </c>
      <c r="AW324">
        <v>2</v>
      </c>
      <c r="AX324">
        <v>94801701</v>
      </c>
      <c r="AY324">
        <v>1</v>
      </c>
      <c r="AZ324">
        <v>0</v>
      </c>
      <c r="BA324">
        <v>324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V324">
        <v>0</v>
      </c>
      <c r="CW324">
        <f>ROUND(Y324*Source!I331*DO324,9)</f>
        <v>0</v>
      </c>
      <c r="CX324">
        <f>ROUND(Y324*Source!I331,9)</f>
        <v>0.57840000000000003</v>
      </c>
      <c r="CY324">
        <f t="shared" si="138"/>
        <v>12.13</v>
      </c>
      <c r="CZ324">
        <f t="shared" si="139"/>
        <v>2.15</v>
      </c>
      <c r="DA324">
        <f t="shared" si="140"/>
        <v>5.64</v>
      </c>
      <c r="DB324">
        <f t="shared" si="121"/>
        <v>5.18</v>
      </c>
      <c r="DC324">
        <f t="shared" si="122"/>
        <v>0</v>
      </c>
      <c r="DD324" t="s">
        <v>3</v>
      </c>
      <c r="DE324" t="s">
        <v>3</v>
      </c>
      <c r="DF324">
        <f t="shared" si="137"/>
        <v>0</v>
      </c>
      <c r="DG324">
        <f t="shared" si="141"/>
        <v>7.02</v>
      </c>
      <c r="DH324">
        <f t="shared" si="142"/>
        <v>0</v>
      </c>
      <c r="DI324">
        <f t="shared" si="144"/>
        <v>0</v>
      </c>
      <c r="DJ324">
        <f t="shared" si="143"/>
        <v>7.02</v>
      </c>
      <c r="DK324">
        <v>0</v>
      </c>
      <c r="DL324" t="s">
        <v>3</v>
      </c>
      <c r="DM324">
        <v>0</v>
      </c>
      <c r="DN324" t="s">
        <v>3</v>
      </c>
      <c r="DO324">
        <v>0</v>
      </c>
    </row>
    <row r="325" spans="1:119" x14ac:dyDescent="0.2">
      <c r="A325">
        <f>ROW(Source!A331)</f>
        <v>331</v>
      </c>
      <c r="B325">
        <v>94798619</v>
      </c>
      <c r="C325">
        <v>94801691</v>
      </c>
      <c r="D325">
        <v>37804456</v>
      </c>
      <c r="E325">
        <v>1</v>
      </c>
      <c r="F325">
        <v>1</v>
      </c>
      <c r="G325">
        <v>1</v>
      </c>
      <c r="H325">
        <v>2</v>
      </c>
      <c r="I325" t="s">
        <v>713</v>
      </c>
      <c r="J325" t="s">
        <v>714</v>
      </c>
      <c r="K325" t="s">
        <v>715</v>
      </c>
      <c r="L325">
        <v>1368</v>
      </c>
      <c r="N325">
        <v>1011</v>
      </c>
      <c r="O325" t="s">
        <v>700</v>
      </c>
      <c r="P325" t="s">
        <v>700</v>
      </c>
      <c r="Q325">
        <v>1</v>
      </c>
      <c r="W325">
        <v>0</v>
      </c>
      <c r="X325">
        <v>-671646184</v>
      </c>
      <c r="Y325">
        <f t="shared" si="120"/>
        <v>0.32</v>
      </c>
      <c r="AA325">
        <v>0</v>
      </c>
      <c r="AB325">
        <v>1305.74</v>
      </c>
      <c r="AC325">
        <v>365.04</v>
      </c>
      <c r="AD325">
        <v>0</v>
      </c>
      <c r="AE325">
        <v>0</v>
      </c>
      <c r="AF325">
        <v>91.76</v>
      </c>
      <c r="AG325">
        <v>10.35</v>
      </c>
      <c r="AH325">
        <v>0</v>
      </c>
      <c r="AI325">
        <v>1</v>
      </c>
      <c r="AJ325">
        <v>14.23</v>
      </c>
      <c r="AK325">
        <v>35.270000000000003</v>
      </c>
      <c r="AL325">
        <v>1</v>
      </c>
      <c r="AM325">
        <v>2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3</v>
      </c>
      <c r="AT325">
        <v>0.32</v>
      </c>
      <c r="AU325" t="s">
        <v>3</v>
      </c>
      <c r="AV325">
        <v>0</v>
      </c>
      <c r="AW325">
        <v>2</v>
      </c>
      <c r="AX325">
        <v>94801702</v>
      </c>
      <c r="AY325">
        <v>1</v>
      </c>
      <c r="AZ325">
        <v>0</v>
      </c>
      <c r="BA325">
        <v>325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V325">
        <v>0</v>
      </c>
      <c r="CW325">
        <f>ROUND(Y325*Source!I331*DO325,9)</f>
        <v>0</v>
      </c>
      <c r="CX325">
        <f>ROUND(Y325*Source!I331,9)</f>
        <v>7.6799999999999993E-2</v>
      </c>
      <c r="CY325">
        <f t="shared" si="138"/>
        <v>1305.74</v>
      </c>
      <c r="CZ325">
        <f t="shared" si="139"/>
        <v>91.76</v>
      </c>
      <c r="DA325">
        <f t="shared" si="140"/>
        <v>14.23</v>
      </c>
      <c r="DB325">
        <f t="shared" si="121"/>
        <v>29.36</v>
      </c>
      <c r="DC325">
        <f t="shared" si="122"/>
        <v>3.31</v>
      </c>
      <c r="DD325" t="s">
        <v>3</v>
      </c>
      <c r="DE325" t="s">
        <v>3</v>
      </c>
      <c r="DF325">
        <f t="shared" si="137"/>
        <v>0</v>
      </c>
      <c r="DG325">
        <f t="shared" si="141"/>
        <v>100.28</v>
      </c>
      <c r="DH325">
        <f t="shared" si="142"/>
        <v>28.04</v>
      </c>
      <c r="DI325">
        <f t="shared" si="144"/>
        <v>0</v>
      </c>
      <c r="DJ325">
        <f t="shared" si="143"/>
        <v>100.28</v>
      </c>
      <c r="DK325">
        <v>0</v>
      </c>
      <c r="DL325" t="s">
        <v>3</v>
      </c>
      <c r="DM325">
        <v>0</v>
      </c>
      <c r="DN325" t="s">
        <v>3</v>
      </c>
      <c r="DO325">
        <v>0</v>
      </c>
    </row>
    <row r="326" spans="1:119" x14ac:dyDescent="0.2">
      <c r="A326">
        <f>ROW(Source!A331)</f>
        <v>331</v>
      </c>
      <c r="B326">
        <v>94798619</v>
      </c>
      <c r="C326">
        <v>94801691</v>
      </c>
      <c r="D326">
        <v>37730053</v>
      </c>
      <c r="E326">
        <v>1</v>
      </c>
      <c r="F326">
        <v>1</v>
      </c>
      <c r="G326">
        <v>1</v>
      </c>
      <c r="H326">
        <v>3</v>
      </c>
      <c r="I326" t="s">
        <v>839</v>
      </c>
      <c r="J326" t="s">
        <v>840</v>
      </c>
      <c r="K326" t="s">
        <v>841</v>
      </c>
      <c r="L326">
        <v>1348</v>
      </c>
      <c r="N326">
        <v>1009</v>
      </c>
      <c r="O326" t="s">
        <v>170</v>
      </c>
      <c r="P326" t="s">
        <v>170</v>
      </c>
      <c r="Q326">
        <v>1000</v>
      </c>
      <c r="W326">
        <v>0</v>
      </c>
      <c r="X326">
        <v>-1280064888</v>
      </c>
      <c r="Y326">
        <f t="shared" si="120"/>
        <v>1.4999999999999999E-4</v>
      </c>
      <c r="AA326">
        <v>231948</v>
      </c>
      <c r="AB326">
        <v>0</v>
      </c>
      <c r="AC326">
        <v>0</v>
      </c>
      <c r="AD326">
        <v>0</v>
      </c>
      <c r="AE326">
        <v>37900</v>
      </c>
      <c r="AF326">
        <v>0</v>
      </c>
      <c r="AG326">
        <v>0</v>
      </c>
      <c r="AH326">
        <v>0</v>
      </c>
      <c r="AI326">
        <v>6.12</v>
      </c>
      <c r="AJ326">
        <v>1</v>
      </c>
      <c r="AK326">
        <v>1</v>
      </c>
      <c r="AL326">
        <v>1</v>
      </c>
      <c r="AM326">
        <v>2</v>
      </c>
      <c r="AN326">
        <v>0</v>
      </c>
      <c r="AO326">
        <v>1</v>
      </c>
      <c r="AP326">
        <v>1</v>
      </c>
      <c r="AQ326">
        <v>0</v>
      </c>
      <c r="AR326">
        <v>0</v>
      </c>
      <c r="AS326" t="s">
        <v>3</v>
      </c>
      <c r="AT326">
        <v>1.4999999999999999E-4</v>
      </c>
      <c r="AU326" t="s">
        <v>3</v>
      </c>
      <c r="AV326">
        <v>0</v>
      </c>
      <c r="AW326">
        <v>2</v>
      </c>
      <c r="AX326">
        <v>94801703</v>
      </c>
      <c r="AY326">
        <v>1</v>
      </c>
      <c r="AZ326">
        <v>0</v>
      </c>
      <c r="BA326">
        <v>326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V326">
        <v>0</v>
      </c>
      <c r="CW326">
        <v>0</v>
      </c>
      <c r="CX326">
        <f>ROUND(Y326*Source!I331,9)</f>
        <v>3.6000000000000001E-5</v>
      </c>
      <c r="CY326">
        <f t="shared" ref="CY326:CY339" si="145">AA326</f>
        <v>231948</v>
      </c>
      <c r="CZ326">
        <f t="shared" ref="CZ326:CZ339" si="146">AE326</f>
        <v>37900</v>
      </c>
      <c r="DA326">
        <f t="shared" ref="DA326:DA339" si="147">AI326</f>
        <v>6.12</v>
      </c>
      <c r="DB326">
        <f t="shared" si="121"/>
        <v>5.69</v>
      </c>
      <c r="DC326">
        <f t="shared" si="122"/>
        <v>0</v>
      </c>
      <c r="DD326" t="s">
        <v>3</v>
      </c>
      <c r="DE326" t="s">
        <v>3</v>
      </c>
      <c r="DF326">
        <f t="shared" ref="DF326:DF333" si="148">ROUND(ROUND(AE326*AI326,2)*CX326,2)</f>
        <v>8.35</v>
      </c>
      <c r="DG326">
        <f t="shared" ref="DG326:DG340" si="149">ROUND(ROUND(AF326,2)*CX326,2)</f>
        <v>0</v>
      </c>
      <c r="DH326">
        <f t="shared" ref="DH326:DH340" si="150">ROUND(ROUND(AG326,2)*CX326,2)</f>
        <v>0</v>
      </c>
      <c r="DI326">
        <f t="shared" si="144"/>
        <v>0</v>
      </c>
      <c r="DJ326">
        <f t="shared" ref="DJ326:DJ339" si="151">DF326</f>
        <v>8.35</v>
      </c>
      <c r="DK326">
        <v>0</v>
      </c>
      <c r="DL326" t="s">
        <v>3</v>
      </c>
      <c r="DM326">
        <v>0</v>
      </c>
      <c r="DN326" t="s">
        <v>3</v>
      </c>
      <c r="DO326">
        <v>0</v>
      </c>
    </row>
    <row r="327" spans="1:119" x14ac:dyDescent="0.2">
      <c r="A327">
        <f>ROW(Source!A331)</f>
        <v>331</v>
      </c>
      <c r="B327">
        <v>94798619</v>
      </c>
      <c r="C327">
        <v>94801691</v>
      </c>
      <c r="D327">
        <v>37729659</v>
      </c>
      <c r="E327">
        <v>1</v>
      </c>
      <c r="F327">
        <v>1</v>
      </c>
      <c r="G327">
        <v>1</v>
      </c>
      <c r="H327">
        <v>3</v>
      </c>
      <c r="I327" t="s">
        <v>187</v>
      </c>
      <c r="J327" t="s">
        <v>189</v>
      </c>
      <c r="K327" t="s">
        <v>188</v>
      </c>
      <c r="L327">
        <v>1339</v>
      </c>
      <c r="N327">
        <v>1007</v>
      </c>
      <c r="O327" t="s">
        <v>52</v>
      </c>
      <c r="P327" t="s">
        <v>52</v>
      </c>
      <c r="Q327">
        <v>1</v>
      </c>
      <c r="W327">
        <v>0</v>
      </c>
      <c r="X327">
        <v>-821751618</v>
      </c>
      <c r="Y327">
        <f t="shared" si="120"/>
        <v>1.4</v>
      </c>
      <c r="AA327">
        <v>118.62</v>
      </c>
      <c r="AB327">
        <v>0</v>
      </c>
      <c r="AC327">
        <v>0</v>
      </c>
      <c r="AD327">
        <v>0</v>
      </c>
      <c r="AE327">
        <v>6.22</v>
      </c>
      <c r="AF327">
        <v>0</v>
      </c>
      <c r="AG327">
        <v>0</v>
      </c>
      <c r="AH327">
        <v>0</v>
      </c>
      <c r="AI327">
        <v>19.07</v>
      </c>
      <c r="AJ327">
        <v>1</v>
      </c>
      <c r="AK327">
        <v>1</v>
      </c>
      <c r="AL327">
        <v>1</v>
      </c>
      <c r="AM327">
        <v>2</v>
      </c>
      <c r="AN327">
        <v>0</v>
      </c>
      <c r="AO327">
        <v>1</v>
      </c>
      <c r="AP327">
        <v>1</v>
      </c>
      <c r="AQ327">
        <v>0</v>
      </c>
      <c r="AR327">
        <v>0</v>
      </c>
      <c r="AS327" t="s">
        <v>3</v>
      </c>
      <c r="AT327">
        <v>1.4</v>
      </c>
      <c r="AU327" t="s">
        <v>3</v>
      </c>
      <c r="AV327">
        <v>0</v>
      </c>
      <c r="AW327">
        <v>2</v>
      </c>
      <c r="AX327">
        <v>94801704</v>
      </c>
      <c r="AY327">
        <v>1</v>
      </c>
      <c r="AZ327">
        <v>0</v>
      </c>
      <c r="BA327">
        <v>327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V327">
        <v>0</v>
      </c>
      <c r="CW327">
        <v>0</v>
      </c>
      <c r="CX327">
        <f>ROUND(Y327*Source!I331,9)</f>
        <v>0.33600000000000002</v>
      </c>
      <c r="CY327">
        <f t="shared" si="145"/>
        <v>118.62</v>
      </c>
      <c r="CZ327">
        <f t="shared" si="146"/>
        <v>6.22</v>
      </c>
      <c r="DA327">
        <f t="shared" si="147"/>
        <v>19.07</v>
      </c>
      <c r="DB327">
        <f t="shared" si="121"/>
        <v>8.7100000000000009</v>
      </c>
      <c r="DC327">
        <f t="shared" si="122"/>
        <v>0</v>
      </c>
      <c r="DD327" t="s">
        <v>3</v>
      </c>
      <c r="DE327" t="s">
        <v>3</v>
      </c>
      <c r="DF327">
        <f t="shared" si="148"/>
        <v>39.86</v>
      </c>
      <c r="DG327">
        <f t="shared" si="149"/>
        <v>0</v>
      </c>
      <c r="DH327">
        <f t="shared" si="150"/>
        <v>0</v>
      </c>
      <c r="DI327">
        <f t="shared" si="144"/>
        <v>0</v>
      </c>
      <c r="DJ327">
        <f t="shared" si="151"/>
        <v>39.86</v>
      </c>
      <c r="DK327">
        <v>0</v>
      </c>
      <c r="DL327" t="s">
        <v>3</v>
      </c>
      <c r="DM327">
        <v>0</v>
      </c>
      <c r="DN327" t="s">
        <v>3</v>
      </c>
      <c r="DO327">
        <v>0</v>
      </c>
    </row>
    <row r="328" spans="1:119" x14ac:dyDescent="0.2">
      <c r="A328">
        <f>ROW(Source!A331)</f>
        <v>331</v>
      </c>
      <c r="B328">
        <v>94798619</v>
      </c>
      <c r="C328">
        <v>94801691</v>
      </c>
      <c r="D328">
        <v>37736264</v>
      </c>
      <c r="E328">
        <v>1</v>
      </c>
      <c r="F328">
        <v>1</v>
      </c>
      <c r="G328">
        <v>1</v>
      </c>
      <c r="H328">
        <v>3</v>
      </c>
      <c r="I328" t="s">
        <v>842</v>
      </c>
      <c r="J328" t="s">
        <v>843</v>
      </c>
      <c r="K328" t="s">
        <v>844</v>
      </c>
      <c r="L328">
        <v>1348</v>
      </c>
      <c r="N328">
        <v>1009</v>
      </c>
      <c r="O328" t="s">
        <v>170</v>
      </c>
      <c r="P328" t="s">
        <v>170</v>
      </c>
      <c r="Q328">
        <v>1000</v>
      </c>
      <c r="W328">
        <v>0</v>
      </c>
      <c r="X328">
        <v>1941264678</v>
      </c>
      <c r="Y328">
        <f t="shared" si="120"/>
        <v>4.0000000000000003E-5</v>
      </c>
      <c r="AA328">
        <v>31452.3</v>
      </c>
      <c r="AB328">
        <v>0</v>
      </c>
      <c r="AC328">
        <v>0</v>
      </c>
      <c r="AD328">
        <v>0</v>
      </c>
      <c r="AE328">
        <v>4455</v>
      </c>
      <c r="AF328">
        <v>0</v>
      </c>
      <c r="AG328">
        <v>0</v>
      </c>
      <c r="AH328">
        <v>0</v>
      </c>
      <c r="AI328">
        <v>7.06</v>
      </c>
      <c r="AJ328">
        <v>1</v>
      </c>
      <c r="AK328">
        <v>1</v>
      </c>
      <c r="AL328">
        <v>1</v>
      </c>
      <c r="AM328">
        <v>2</v>
      </c>
      <c r="AN328">
        <v>0</v>
      </c>
      <c r="AO328">
        <v>1</v>
      </c>
      <c r="AP328">
        <v>1</v>
      </c>
      <c r="AQ328">
        <v>0</v>
      </c>
      <c r="AR328">
        <v>0</v>
      </c>
      <c r="AS328" t="s">
        <v>3</v>
      </c>
      <c r="AT328">
        <v>4.0000000000000003E-5</v>
      </c>
      <c r="AU328" t="s">
        <v>3</v>
      </c>
      <c r="AV328">
        <v>0</v>
      </c>
      <c r="AW328">
        <v>2</v>
      </c>
      <c r="AX328">
        <v>94801705</v>
      </c>
      <c r="AY328">
        <v>1</v>
      </c>
      <c r="AZ328">
        <v>0</v>
      </c>
      <c r="BA328">
        <v>328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V328">
        <v>0</v>
      </c>
      <c r="CW328">
        <v>0</v>
      </c>
      <c r="CX328">
        <f>ROUND(Y328*Source!I331,9)</f>
        <v>9.5999999999999996E-6</v>
      </c>
      <c r="CY328">
        <f t="shared" si="145"/>
        <v>31452.3</v>
      </c>
      <c r="CZ328">
        <f t="shared" si="146"/>
        <v>4455</v>
      </c>
      <c r="DA328">
        <f t="shared" si="147"/>
        <v>7.06</v>
      </c>
      <c r="DB328">
        <f t="shared" si="121"/>
        <v>0.18</v>
      </c>
      <c r="DC328">
        <f t="shared" si="122"/>
        <v>0</v>
      </c>
      <c r="DD328" t="s">
        <v>3</v>
      </c>
      <c r="DE328" t="s">
        <v>3</v>
      </c>
      <c r="DF328">
        <f t="shared" si="148"/>
        <v>0.3</v>
      </c>
      <c r="DG328">
        <f t="shared" si="149"/>
        <v>0</v>
      </c>
      <c r="DH328">
        <f t="shared" si="150"/>
        <v>0</v>
      </c>
      <c r="DI328">
        <f t="shared" si="144"/>
        <v>0</v>
      </c>
      <c r="DJ328">
        <f t="shared" si="151"/>
        <v>0.3</v>
      </c>
      <c r="DK328">
        <v>0</v>
      </c>
      <c r="DL328" t="s">
        <v>3</v>
      </c>
      <c r="DM328">
        <v>0</v>
      </c>
      <c r="DN328" t="s">
        <v>3</v>
      </c>
      <c r="DO328">
        <v>0</v>
      </c>
    </row>
    <row r="329" spans="1:119" x14ac:dyDescent="0.2">
      <c r="A329">
        <f>ROW(Source!A331)</f>
        <v>331</v>
      </c>
      <c r="B329">
        <v>94798619</v>
      </c>
      <c r="C329">
        <v>94801691</v>
      </c>
      <c r="D329">
        <v>37736447</v>
      </c>
      <c r="E329">
        <v>1</v>
      </c>
      <c r="F329">
        <v>1</v>
      </c>
      <c r="G329">
        <v>1</v>
      </c>
      <c r="H329">
        <v>3</v>
      </c>
      <c r="I329" t="s">
        <v>845</v>
      </c>
      <c r="J329" t="s">
        <v>846</v>
      </c>
      <c r="K329" t="s">
        <v>847</v>
      </c>
      <c r="L329">
        <v>1348</v>
      </c>
      <c r="N329">
        <v>1009</v>
      </c>
      <c r="O329" t="s">
        <v>170</v>
      </c>
      <c r="P329" t="s">
        <v>170</v>
      </c>
      <c r="Q329">
        <v>1000</v>
      </c>
      <c r="W329">
        <v>0</v>
      </c>
      <c r="X329">
        <v>-833443196</v>
      </c>
      <c r="Y329">
        <f t="shared" si="120"/>
        <v>2.97E-3</v>
      </c>
      <c r="AA329">
        <v>72674</v>
      </c>
      <c r="AB329">
        <v>0</v>
      </c>
      <c r="AC329">
        <v>0</v>
      </c>
      <c r="AD329">
        <v>0</v>
      </c>
      <c r="AE329">
        <v>5191</v>
      </c>
      <c r="AF329">
        <v>0</v>
      </c>
      <c r="AG329">
        <v>0</v>
      </c>
      <c r="AH329">
        <v>0</v>
      </c>
      <c r="AI329">
        <v>14</v>
      </c>
      <c r="AJ329">
        <v>1</v>
      </c>
      <c r="AK329">
        <v>1</v>
      </c>
      <c r="AL329">
        <v>1</v>
      </c>
      <c r="AM329">
        <v>2</v>
      </c>
      <c r="AN329">
        <v>0</v>
      </c>
      <c r="AO329">
        <v>1</v>
      </c>
      <c r="AP329">
        <v>1</v>
      </c>
      <c r="AQ329">
        <v>0</v>
      </c>
      <c r="AR329">
        <v>0</v>
      </c>
      <c r="AS329" t="s">
        <v>3</v>
      </c>
      <c r="AT329">
        <v>2.97E-3</v>
      </c>
      <c r="AU329" t="s">
        <v>3</v>
      </c>
      <c r="AV329">
        <v>0</v>
      </c>
      <c r="AW329">
        <v>2</v>
      </c>
      <c r="AX329">
        <v>94801706</v>
      </c>
      <c r="AY329">
        <v>1</v>
      </c>
      <c r="AZ329">
        <v>0</v>
      </c>
      <c r="BA329">
        <v>329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V329">
        <v>0</v>
      </c>
      <c r="CW329">
        <v>0</v>
      </c>
      <c r="CX329">
        <f>ROUND(Y329*Source!I331,9)</f>
        <v>7.1279999999999998E-4</v>
      </c>
      <c r="CY329">
        <f t="shared" si="145"/>
        <v>72674</v>
      </c>
      <c r="CZ329">
        <f t="shared" si="146"/>
        <v>5191</v>
      </c>
      <c r="DA329">
        <f t="shared" si="147"/>
        <v>14</v>
      </c>
      <c r="DB329">
        <f t="shared" si="121"/>
        <v>15.42</v>
      </c>
      <c r="DC329">
        <f t="shared" si="122"/>
        <v>0</v>
      </c>
      <c r="DD329" t="s">
        <v>3</v>
      </c>
      <c r="DE329" t="s">
        <v>3</v>
      </c>
      <c r="DF329">
        <f t="shared" si="148"/>
        <v>51.8</v>
      </c>
      <c r="DG329">
        <f t="shared" si="149"/>
        <v>0</v>
      </c>
      <c r="DH329">
        <f t="shared" si="150"/>
        <v>0</v>
      </c>
      <c r="DI329">
        <f t="shared" si="144"/>
        <v>0</v>
      </c>
      <c r="DJ329">
        <f t="shared" si="151"/>
        <v>51.8</v>
      </c>
      <c r="DK329">
        <v>0</v>
      </c>
      <c r="DL329" t="s">
        <v>3</v>
      </c>
      <c r="DM329">
        <v>0</v>
      </c>
      <c r="DN329" t="s">
        <v>3</v>
      </c>
      <c r="DO329">
        <v>0</v>
      </c>
    </row>
    <row r="330" spans="1:119" x14ac:dyDescent="0.2">
      <c r="A330">
        <f>ROW(Source!A331)</f>
        <v>331</v>
      </c>
      <c r="B330">
        <v>94798619</v>
      </c>
      <c r="C330">
        <v>94801691</v>
      </c>
      <c r="D330">
        <v>37736609</v>
      </c>
      <c r="E330">
        <v>1</v>
      </c>
      <c r="F330">
        <v>1</v>
      </c>
      <c r="G330">
        <v>1</v>
      </c>
      <c r="H330">
        <v>3</v>
      </c>
      <c r="I330" t="s">
        <v>912</v>
      </c>
      <c r="J330" t="s">
        <v>913</v>
      </c>
      <c r="K330" t="s">
        <v>914</v>
      </c>
      <c r="L330">
        <v>1348</v>
      </c>
      <c r="N330">
        <v>1009</v>
      </c>
      <c r="O330" t="s">
        <v>170</v>
      </c>
      <c r="P330" t="s">
        <v>170</v>
      </c>
      <c r="Q330">
        <v>1000</v>
      </c>
      <c r="W330">
        <v>0</v>
      </c>
      <c r="X330">
        <v>1483167196</v>
      </c>
      <c r="Y330">
        <f t="shared" si="120"/>
        <v>6.0999999999999997E-4</v>
      </c>
      <c r="AA330">
        <v>119730</v>
      </c>
      <c r="AB330">
        <v>0</v>
      </c>
      <c r="AC330">
        <v>0</v>
      </c>
      <c r="AD330">
        <v>0</v>
      </c>
      <c r="AE330">
        <v>9750</v>
      </c>
      <c r="AF330">
        <v>0</v>
      </c>
      <c r="AG330">
        <v>0</v>
      </c>
      <c r="AH330">
        <v>0</v>
      </c>
      <c r="AI330">
        <v>12.28</v>
      </c>
      <c r="AJ330">
        <v>1</v>
      </c>
      <c r="AK330">
        <v>1</v>
      </c>
      <c r="AL330">
        <v>1</v>
      </c>
      <c r="AM330">
        <v>2</v>
      </c>
      <c r="AN330">
        <v>0</v>
      </c>
      <c r="AO330">
        <v>1</v>
      </c>
      <c r="AP330">
        <v>1</v>
      </c>
      <c r="AQ330">
        <v>0</v>
      </c>
      <c r="AR330">
        <v>0</v>
      </c>
      <c r="AS330" t="s">
        <v>3</v>
      </c>
      <c r="AT330">
        <v>6.0999999999999997E-4</v>
      </c>
      <c r="AU330" t="s">
        <v>3</v>
      </c>
      <c r="AV330">
        <v>0</v>
      </c>
      <c r="AW330">
        <v>2</v>
      </c>
      <c r="AX330">
        <v>94801707</v>
      </c>
      <c r="AY330">
        <v>1</v>
      </c>
      <c r="AZ330">
        <v>0</v>
      </c>
      <c r="BA330">
        <v>330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V330">
        <v>0</v>
      </c>
      <c r="CW330">
        <v>0</v>
      </c>
      <c r="CX330">
        <f>ROUND(Y330*Source!I331,9)</f>
        <v>1.4640000000000001E-4</v>
      </c>
      <c r="CY330">
        <f t="shared" si="145"/>
        <v>119730</v>
      </c>
      <c r="CZ330">
        <f t="shared" si="146"/>
        <v>9750</v>
      </c>
      <c r="DA330">
        <f t="shared" si="147"/>
        <v>12.28</v>
      </c>
      <c r="DB330">
        <f t="shared" si="121"/>
        <v>5.95</v>
      </c>
      <c r="DC330">
        <f t="shared" si="122"/>
        <v>0</v>
      </c>
      <c r="DD330" t="s">
        <v>3</v>
      </c>
      <c r="DE330" t="s">
        <v>3</v>
      </c>
      <c r="DF330">
        <f t="shared" si="148"/>
        <v>17.53</v>
      </c>
      <c r="DG330">
        <f t="shared" si="149"/>
        <v>0</v>
      </c>
      <c r="DH330">
        <f t="shared" si="150"/>
        <v>0</v>
      </c>
      <c r="DI330">
        <f t="shared" si="144"/>
        <v>0</v>
      </c>
      <c r="DJ330">
        <f t="shared" si="151"/>
        <v>17.53</v>
      </c>
      <c r="DK330">
        <v>0</v>
      </c>
      <c r="DL330" t="s">
        <v>3</v>
      </c>
      <c r="DM330">
        <v>0</v>
      </c>
      <c r="DN330" t="s">
        <v>3</v>
      </c>
      <c r="DO330">
        <v>0</v>
      </c>
    </row>
    <row r="331" spans="1:119" x14ac:dyDescent="0.2">
      <c r="A331">
        <f>ROW(Source!A331)</f>
        <v>331</v>
      </c>
      <c r="B331">
        <v>94798619</v>
      </c>
      <c r="C331">
        <v>94801691</v>
      </c>
      <c r="D331">
        <v>37736859</v>
      </c>
      <c r="E331">
        <v>1</v>
      </c>
      <c r="F331">
        <v>1</v>
      </c>
      <c r="G331">
        <v>1</v>
      </c>
      <c r="H331">
        <v>3</v>
      </c>
      <c r="I331" t="s">
        <v>252</v>
      </c>
      <c r="J331" t="s">
        <v>254</v>
      </c>
      <c r="K331" t="s">
        <v>253</v>
      </c>
      <c r="L331">
        <v>1348</v>
      </c>
      <c r="N331">
        <v>1009</v>
      </c>
      <c r="O331" t="s">
        <v>170</v>
      </c>
      <c r="P331" t="s">
        <v>170</v>
      </c>
      <c r="Q331">
        <v>1000</v>
      </c>
      <c r="W331">
        <v>0</v>
      </c>
      <c r="X331">
        <v>-384985709</v>
      </c>
      <c r="Y331">
        <f t="shared" si="120"/>
        <v>2.2000000000000001E-3</v>
      </c>
      <c r="AA331">
        <v>208824.23</v>
      </c>
      <c r="AB331">
        <v>0</v>
      </c>
      <c r="AC331">
        <v>0</v>
      </c>
      <c r="AD331">
        <v>0</v>
      </c>
      <c r="AE331">
        <v>9040.01</v>
      </c>
      <c r="AF331">
        <v>0</v>
      </c>
      <c r="AG331">
        <v>0</v>
      </c>
      <c r="AH331">
        <v>0</v>
      </c>
      <c r="AI331">
        <v>23.1</v>
      </c>
      <c r="AJ331">
        <v>1</v>
      </c>
      <c r="AK331">
        <v>1</v>
      </c>
      <c r="AL331">
        <v>1</v>
      </c>
      <c r="AM331">
        <v>2</v>
      </c>
      <c r="AN331">
        <v>0</v>
      </c>
      <c r="AO331">
        <v>1</v>
      </c>
      <c r="AP331">
        <v>1</v>
      </c>
      <c r="AQ331">
        <v>0</v>
      </c>
      <c r="AR331">
        <v>0</v>
      </c>
      <c r="AS331" t="s">
        <v>3</v>
      </c>
      <c r="AT331">
        <v>2.2000000000000001E-3</v>
      </c>
      <c r="AU331" t="s">
        <v>3</v>
      </c>
      <c r="AV331">
        <v>0</v>
      </c>
      <c r="AW331">
        <v>2</v>
      </c>
      <c r="AX331">
        <v>94801708</v>
      </c>
      <c r="AY331">
        <v>1</v>
      </c>
      <c r="AZ331">
        <v>0</v>
      </c>
      <c r="BA331">
        <v>331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V331">
        <v>0</v>
      </c>
      <c r="CW331">
        <v>0</v>
      </c>
      <c r="CX331">
        <f>ROUND(Y331*Source!I331,9)</f>
        <v>5.2800000000000004E-4</v>
      </c>
      <c r="CY331">
        <f t="shared" si="145"/>
        <v>208824.23</v>
      </c>
      <c r="CZ331">
        <f t="shared" si="146"/>
        <v>9040.01</v>
      </c>
      <c r="DA331">
        <f t="shared" si="147"/>
        <v>23.1</v>
      </c>
      <c r="DB331">
        <f t="shared" si="121"/>
        <v>19.89</v>
      </c>
      <c r="DC331">
        <f t="shared" si="122"/>
        <v>0</v>
      </c>
      <c r="DD331" t="s">
        <v>3</v>
      </c>
      <c r="DE331" t="s">
        <v>3</v>
      </c>
      <c r="DF331">
        <f t="shared" si="148"/>
        <v>110.26</v>
      </c>
      <c r="DG331">
        <f t="shared" si="149"/>
        <v>0</v>
      </c>
      <c r="DH331">
        <f t="shared" si="150"/>
        <v>0</v>
      </c>
      <c r="DI331">
        <f t="shared" si="144"/>
        <v>0</v>
      </c>
      <c r="DJ331">
        <f t="shared" si="151"/>
        <v>110.26</v>
      </c>
      <c r="DK331">
        <v>0</v>
      </c>
      <c r="DL331" t="s">
        <v>3</v>
      </c>
      <c r="DM331">
        <v>0</v>
      </c>
      <c r="DN331" t="s">
        <v>3</v>
      </c>
      <c r="DO331">
        <v>0</v>
      </c>
    </row>
    <row r="332" spans="1:119" x14ac:dyDescent="0.2">
      <c r="A332">
        <f>ROW(Source!A331)</f>
        <v>331</v>
      </c>
      <c r="B332">
        <v>94798619</v>
      </c>
      <c r="C332">
        <v>94801691</v>
      </c>
      <c r="D332">
        <v>37729662</v>
      </c>
      <c r="E332">
        <v>1</v>
      </c>
      <c r="F332">
        <v>1</v>
      </c>
      <c r="G332">
        <v>1</v>
      </c>
      <c r="H332">
        <v>3</v>
      </c>
      <c r="I332" t="s">
        <v>812</v>
      </c>
      <c r="J332" t="s">
        <v>813</v>
      </c>
      <c r="K332" t="s">
        <v>814</v>
      </c>
      <c r="L332">
        <v>1346</v>
      </c>
      <c r="N332">
        <v>1009</v>
      </c>
      <c r="O332" t="s">
        <v>192</v>
      </c>
      <c r="P332" t="s">
        <v>192</v>
      </c>
      <c r="Q332">
        <v>1</v>
      </c>
      <c r="W332">
        <v>0</v>
      </c>
      <c r="X332">
        <v>873943321</v>
      </c>
      <c r="Y332">
        <f t="shared" si="120"/>
        <v>0.42</v>
      </c>
      <c r="AA332">
        <v>53.09</v>
      </c>
      <c r="AB332">
        <v>0</v>
      </c>
      <c r="AC332">
        <v>0</v>
      </c>
      <c r="AD332">
        <v>0</v>
      </c>
      <c r="AE332">
        <v>6.62</v>
      </c>
      <c r="AF332">
        <v>0</v>
      </c>
      <c r="AG332">
        <v>0</v>
      </c>
      <c r="AH332">
        <v>0</v>
      </c>
      <c r="AI332">
        <v>8.02</v>
      </c>
      <c r="AJ332">
        <v>1</v>
      </c>
      <c r="AK332">
        <v>1</v>
      </c>
      <c r="AL332">
        <v>1</v>
      </c>
      <c r="AM332">
        <v>2</v>
      </c>
      <c r="AN332">
        <v>0</v>
      </c>
      <c r="AO332">
        <v>1</v>
      </c>
      <c r="AP332">
        <v>1</v>
      </c>
      <c r="AQ332">
        <v>0</v>
      </c>
      <c r="AR332">
        <v>0</v>
      </c>
      <c r="AS332" t="s">
        <v>3</v>
      </c>
      <c r="AT332">
        <v>0.42</v>
      </c>
      <c r="AU332" t="s">
        <v>3</v>
      </c>
      <c r="AV332">
        <v>0</v>
      </c>
      <c r="AW332">
        <v>2</v>
      </c>
      <c r="AX332">
        <v>94801709</v>
      </c>
      <c r="AY332">
        <v>1</v>
      </c>
      <c r="AZ332">
        <v>0</v>
      </c>
      <c r="BA332">
        <v>332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V332">
        <v>0</v>
      </c>
      <c r="CW332">
        <v>0</v>
      </c>
      <c r="CX332">
        <f>ROUND(Y332*Source!I331,9)</f>
        <v>0.1008</v>
      </c>
      <c r="CY332">
        <f t="shared" si="145"/>
        <v>53.09</v>
      </c>
      <c r="CZ332">
        <f t="shared" si="146"/>
        <v>6.62</v>
      </c>
      <c r="DA332">
        <f t="shared" si="147"/>
        <v>8.02</v>
      </c>
      <c r="DB332">
        <f t="shared" si="121"/>
        <v>2.78</v>
      </c>
      <c r="DC332">
        <f t="shared" si="122"/>
        <v>0</v>
      </c>
      <c r="DD332" t="s">
        <v>3</v>
      </c>
      <c r="DE332" t="s">
        <v>3</v>
      </c>
      <c r="DF332">
        <f t="shared" si="148"/>
        <v>5.35</v>
      </c>
      <c r="DG332">
        <f t="shared" si="149"/>
        <v>0</v>
      </c>
      <c r="DH332">
        <f t="shared" si="150"/>
        <v>0</v>
      </c>
      <c r="DI332">
        <f t="shared" si="144"/>
        <v>0</v>
      </c>
      <c r="DJ332">
        <f t="shared" si="151"/>
        <v>5.35</v>
      </c>
      <c r="DK332">
        <v>0</v>
      </c>
      <c r="DL332" t="s">
        <v>3</v>
      </c>
      <c r="DM332">
        <v>0</v>
      </c>
      <c r="DN332" t="s">
        <v>3</v>
      </c>
      <c r="DO332">
        <v>0</v>
      </c>
    </row>
    <row r="333" spans="1:119" x14ac:dyDescent="0.2">
      <c r="A333">
        <f>ROW(Source!A331)</f>
        <v>331</v>
      </c>
      <c r="B333">
        <v>94798619</v>
      </c>
      <c r="C333">
        <v>94801691</v>
      </c>
      <c r="D333">
        <v>37732807</v>
      </c>
      <c r="E333">
        <v>1</v>
      </c>
      <c r="F333">
        <v>1</v>
      </c>
      <c r="G333">
        <v>1</v>
      </c>
      <c r="H333">
        <v>3</v>
      </c>
      <c r="I333" t="s">
        <v>854</v>
      </c>
      <c r="J333" t="s">
        <v>855</v>
      </c>
      <c r="K333" t="s">
        <v>856</v>
      </c>
      <c r="L333">
        <v>1348</v>
      </c>
      <c r="N333">
        <v>1009</v>
      </c>
      <c r="O333" t="s">
        <v>170</v>
      </c>
      <c r="P333" t="s">
        <v>170</v>
      </c>
      <c r="Q333">
        <v>1000</v>
      </c>
      <c r="W333">
        <v>0</v>
      </c>
      <c r="X333">
        <v>-250432139</v>
      </c>
      <c r="Y333">
        <f t="shared" si="120"/>
        <v>9.0000000000000006E-5</v>
      </c>
      <c r="AA333">
        <v>72063</v>
      </c>
      <c r="AB333">
        <v>0</v>
      </c>
      <c r="AC333">
        <v>0</v>
      </c>
      <c r="AD333">
        <v>0</v>
      </c>
      <c r="AE333">
        <v>9420</v>
      </c>
      <c r="AF333">
        <v>0</v>
      </c>
      <c r="AG333">
        <v>0</v>
      </c>
      <c r="AH333">
        <v>0</v>
      </c>
      <c r="AI333">
        <v>7.65</v>
      </c>
      <c r="AJ333">
        <v>1</v>
      </c>
      <c r="AK333">
        <v>1</v>
      </c>
      <c r="AL333">
        <v>1</v>
      </c>
      <c r="AM333">
        <v>2</v>
      </c>
      <c r="AN333">
        <v>0</v>
      </c>
      <c r="AO333">
        <v>1</v>
      </c>
      <c r="AP333">
        <v>1</v>
      </c>
      <c r="AQ333">
        <v>0</v>
      </c>
      <c r="AR333">
        <v>0</v>
      </c>
      <c r="AS333" t="s">
        <v>3</v>
      </c>
      <c r="AT333">
        <v>9.0000000000000006E-5</v>
      </c>
      <c r="AU333" t="s">
        <v>3</v>
      </c>
      <c r="AV333">
        <v>0</v>
      </c>
      <c r="AW333">
        <v>2</v>
      </c>
      <c r="AX333">
        <v>94801710</v>
      </c>
      <c r="AY333">
        <v>1</v>
      </c>
      <c r="AZ333">
        <v>0</v>
      </c>
      <c r="BA333">
        <v>333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V333">
        <v>0</v>
      </c>
      <c r="CW333">
        <v>0</v>
      </c>
      <c r="CX333">
        <f>ROUND(Y333*Source!I331,9)</f>
        <v>2.16E-5</v>
      </c>
      <c r="CY333">
        <f t="shared" si="145"/>
        <v>72063</v>
      </c>
      <c r="CZ333">
        <f t="shared" si="146"/>
        <v>9420</v>
      </c>
      <c r="DA333">
        <f t="shared" si="147"/>
        <v>7.65</v>
      </c>
      <c r="DB333">
        <f t="shared" si="121"/>
        <v>0.85</v>
      </c>
      <c r="DC333">
        <f t="shared" si="122"/>
        <v>0</v>
      </c>
      <c r="DD333" t="s">
        <v>3</v>
      </c>
      <c r="DE333" t="s">
        <v>3</v>
      </c>
      <c r="DF333">
        <f t="shared" si="148"/>
        <v>1.56</v>
      </c>
      <c r="DG333">
        <f t="shared" si="149"/>
        <v>0</v>
      </c>
      <c r="DH333">
        <f t="shared" si="150"/>
        <v>0</v>
      </c>
      <c r="DI333">
        <f t="shared" si="144"/>
        <v>0</v>
      </c>
      <c r="DJ333">
        <f t="shared" si="151"/>
        <v>1.56</v>
      </c>
      <c r="DK333">
        <v>0</v>
      </c>
      <c r="DL333" t="s">
        <v>3</v>
      </c>
      <c r="DM333">
        <v>0</v>
      </c>
      <c r="DN333" t="s">
        <v>3</v>
      </c>
      <c r="DO333">
        <v>0</v>
      </c>
    </row>
    <row r="334" spans="1:119" x14ac:dyDescent="0.2">
      <c r="A334">
        <f>ROW(Source!A331)</f>
        <v>331</v>
      </c>
      <c r="B334">
        <v>94798619</v>
      </c>
      <c r="C334">
        <v>94801691</v>
      </c>
      <c r="D334">
        <v>37735514</v>
      </c>
      <c r="E334">
        <v>1</v>
      </c>
      <c r="F334">
        <v>1</v>
      </c>
      <c r="G334">
        <v>1</v>
      </c>
      <c r="H334">
        <v>3</v>
      </c>
      <c r="I334" t="s">
        <v>376</v>
      </c>
      <c r="J334" t="s">
        <v>378</v>
      </c>
      <c r="K334" t="s">
        <v>377</v>
      </c>
      <c r="L334">
        <v>1348</v>
      </c>
      <c r="N334">
        <v>1009</v>
      </c>
      <c r="O334" t="s">
        <v>170</v>
      </c>
      <c r="P334" t="s">
        <v>170</v>
      </c>
      <c r="Q334">
        <v>1000</v>
      </c>
      <c r="W334">
        <v>0</v>
      </c>
      <c r="X334">
        <v>1958438708</v>
      </c>
      <c r="Y334">
        <f t="shared" si="120"/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1</v>
      </c>
      <c r="AJ334">
        <v>1</v>
      </c>
      <c r="AK334">
        <v>1</v>
      </c>
      <c r="AL334">
        <v>1</v>
      </c>
      <c r="AM334">
        <v>0</v>
      </c>
      <c r="AN334">
        <v>1</v>
      </c>
      <c r="AO334">
        <v>0</v>
      </c>
      <c r="AP334">
        <v>1</v>
      </c>
      <c r="AQ334">
        <v>0</v>
      </c>
      <c r="AR334">
        <v>0</v>
      </c>
      <c r="AS334" t="s">
        <v>3</v>
      </c>
      <c r="AT334">
        <v>0</v>
      </c>
      <c r="AU334" t="s">
        <v>3</v>
      </c>
      <c r="AV334">
        <v>0</v>
      </c>
      <c r="AW334">
        <v>2</v>
      </c>
      <c r="AX334">
        <v>94801711</v>
      </c>
      <c r="AY334">
        <v>1</v>
      </c>
      <c r="AZ334">
        <v>0</v>
      </c>
      <c r="BA334">
        <v>334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V334">
        <v>0</v>
      </c>
      <c r="CW334">
        <v>0</v>
      </c>
      <c r="CX334">
        <f>ROUND(Y334*Source!I331,9)</f>
        <v>0</v>
      </c>
      <c r="CY334">
        <f t="shared" si="145"/>
        <v>0</v>
      </c>
      <c r="CZ334">
        <f t="shared" si="146"/>
        <v>0</v>
      </c>
      <c r="DA334">
        <f t="shared" si="147"/>
        <v>1</v>
      </c>
      <c r="DB334">
        <f t="shared" si="121"/>
        <v>0</v>
      </c>
      <c r="DC334">
        <f t="shared" si="122"/>
        <v>0</v>
      </c>
      <c r="DD334" t="s">
        <v>3</v>
      </c>
      <c r="DE334" t="s">
        <v>3</v>
      </c>
      <c r="DF334">
        <f>ROUND(ROUND(AE334,2)*CX334,2)</f>
        <v>0</v>
      </c>
      <c r="DG334">
        <f t="shared" si="149"/>
        <v>0</v>
      </c>
      <c r="DH334">
        <f t="shared" si="150"/>
        <v>0</v>
      </c>
      <c r="DI334">
        <f t="shared" si="144"/>
        <v>0</v>
      </c>
      <c r="DJ334">
        <f t="shared" si="151"/>
        <v>0</v>
      </c>
      <c r="DK334">
        <v>0</v>
      </c>
      <c r="DL334" t="s">
        <v>3</v>
      </c>
      <c r="DM334">
        <v>0</v>
      </c>
      <c r="DN334" t="s">
        <v>3</v>
      </c>
      <c r="DO334">
        <v>0</v>
      </c>
    </row>
    <row r="335" spans="1:119" x14ac:dyDescent="0.2">
      <c r="A335">
        <f>ROW(Source!A331)</f>
        <v>331</v>
      </c>
      <c r="B335">
        <v>94798619</v>
      </c>
      <c r="C335">
        <v>94801691</v>
      </c>
      <c r="D335">
        <v>37735329</v>
      </c>
      <c r="E335">
        <v>1</v>
      </c>
      <c r="F335">
        <v>1</v>
      </c>
      <c r="G335">
        <v>1</v>
      </c>
      <c r="H335">
        <v>3</v>
      </c>
      <c r="I335" t="s">
        <v>380</v>
      </c>
      <c r="J335" t="s">
        <v>382</v>
      </c>
      <c r="K335" t="s">
        <v>381</v>
      </c>
      <c r="L335">
        <v>1348</v>
      </c>
      <c r="N335">
        <v>1009</v>
      </c>
      <c r="O335" t="s">
        <v>170</v>
      </c>
      <c r="P335" t="s">
        <v>170</v>
      </c>
      <c r="Q335">
        <v>1000</v>
      </c>
      <c r="W335">
        <v>0</v>
      </c>
      <c r="X335">
        <v>1071627226</v>
      </c>
      <c r="Y335">
        <f t="shared" si="120"/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1</v>
      </c>
      <c r="AK335">
        <v>1</v>
      </c>
      <c r="AL335">
        <v>1</v>
      </c>
      <c r="AM335">
        <v>0</v>
      </c>
      <c r="AN335">
        <v>1</v>
      </c>
      <c r="AO335">
        <v>0</v>
      </c>
      <c r="AP335">
        <v>1</v>
      </c>
      <c r="AQ335">
        <v>0</v>
      </c>
      <c r="AR335">
        <v>0</v>
      </c>
      <c r="AS335" t="s">
        <v>3</v>
      </c>
      <c r="AT335">
        <v>0</v>
      </c>
      <c r="AU335" t="s">
        <v>3</v>
      </c>
      <c r="AV335">
        <v>0</v>
      </c>
      <c r="AW335">
        <v>2</v>
      </c>
      <c r="AX335">
        <v>94801712</v>
      </c>
      <c r="AY335">
        <v>1</v>
      </c>
      <c r="AZ335">
        <v>0</v>
      </c>
      <c r="BA335">
        <v>335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V335">
        <v>0</v>
      </c>
      <c r="CW335">
        <v>0</v>
      </c>
      <c r="CX335">
        <f>ROUND(Y335*Source!I331,9)</f>
        <v>0</v>
      </c>
      <c r="CY335">
        <f t="shared" si="145"/>
        <v>0</v>
      </c>
      <c r="CZ335">
        <f t="shared" si="146"/>
        <v>0</v>
      </c>
      <c r="DA335">
        <f t="shared" si="147"/>
        <v>1</v>
      </c>
      <c r="DB335">
        <f t="shared" si="121"/>
        <v>0</v>
      </c>
      <c r="DC335">
        <f t="shared" si="122"/>
        <v>0</v>
      </c>
      <c r="DD335" t="s">
        <v>3</v>
      </c>
      <c r="DE335" t="s">
        <v>3</v>
      </c>
      <c r="DF335">
        <f>ROUND(ROUND(AE335,2)*CX335,2)</f>
        <v>0</v>
      </c>
      <c r="DG335">
        <f t="shared" si="149"/>
        <v>0</v>
      </c>
      <c r="DH335">
        <f t="shared" si="150"/>
        <v>0</v>
      </c>
      <c r="DI335">
        <f t="shared" si="144"/>
        <v>0</v>
      </c>
      <c r="DJ335">
        <f t="shared" si="151"/>
        <v>0</v>
      </c>
      <c r="DK335">
        <v>0</v>
      </c>
      <c r="DL335" t="s">
        <v>3</v>
      </c>
      <c r="DM335">
        <v>0</v>
      </c>
      <c r="DN335" t="s">
        <v>3</v>
      </c>
      <c r="DO335">
        <v>0</v>
      </c>
    </row>
    <row r="336" spans="1:119" x14ac:dyDescent="0.2">
      <c r="A336">
        <f>ROW(Source!A331)</f>
        <v>331</v>
      </c>
      <c r="B336">
        <v>94798619</v>
      </c>
      <c r="C336">
        <v>94801691</v>
      </c>
      <c r="D336">
        <v>37738047</v>
      </c>
      <c r="E336">
        <v>1</v>
      </c>
      <c r="F336">
        <v>1</v>
      </c>
      <c r="G336">
        <v>1</v>
      </c>
      <c r="H336">
        <v>3</v>
      </c>
      <c r="I336" t="s">
        <v>857</v>
      </c>
      <c r="J336" t="s">
        <v>858</v>
      </c>
      <c r="K336" t="s">
        <v>859</v>
      </c>
      <c r="L336">
        <v>1339</v>
      </c>
      <c r="N336">
        <v>1007</v>
      </c>
      <c r="O336" t="s">
        <v>52</v>
      </c>
      <c r="P336" t="s">
        <v>52</v>
      </c>
      <c r="Q336">
        <v>1</v>
      </c>
      <c r="W336">
        <v>0</v>
      </c>
      <c r="X336">
        <v>579634616</v>
      </c>
      <c r="Y336">
        <f t="shared" si="120"/>
        <v>1.2999999999999999E-3</v>
      </c>
      <c r="AA336">
        <v>18572.47</v>
      </c>
      <c r="AB336">
        <v>0</v>
      </c>
      <c r="AC336">
        <v>0</v>
      </c>
      <c r="AD336">
        <v>0</v>
      </c>
      <c r="AE336">
        <v>1421</v>
      </c>
      <c r="AF336">
        <v>0</v>
      </c>
      <c r="AG336">
        <v>0</v>
      </c>
      <c r="AH336">
        <v>0</v>
      </c>
      <c r="AI336">
        <v>13.07</v>
      </c>
      <c r="AJ336">
        <v>1</v>
      </c>
      <c r="AK336">
        <v>1</v>
      </c>
      <c r="AL336">
        <v>1</v>
      </c>
      <c r="AM336">
        <v>2</v>
      </c>
      <c r="AN336">
        <v>0</v>
      </c>
      <c r="AO336">
        <v>1</v>
      </c>
      <c r="AP336">
        <v>1</v>
      </c>
      <c r="AQ336">
        <v>0</v>
      </c>
      <c r="AR336">
        <v>0</v>
      </c>
      <c r="AS336" t="s">
        <v>3</v>
      </c>
      <c r="AT336">
        <v>1.2999999999999999E-3</v>
      </c>
      <c r="AU336" t="s">
        <v>3</v>
      </c>
      <c r="AV336">
        <v>0</v>
      </c>
      <c r="AW336">
        <v>2</v>
      </c>
      <c r="AX336">
        <v>94801713</v>
      </c>
      <c r="AY336">
        <v>1</v>
      </c>
      <c r="AZ336">
        <v>0</v>
      </c>
      <c r="BA336">
        <v>336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V336">
        <v>0</v>
      </c>
      <c r="CW336">
        <v>0</v>
      </c>
      <c r="CX336">
        <f>ROUND(Y336*Source!I331,9)</f>
        <v>3.1199999999999999E-4</v>
      </c>
      <c r="CY336">
        <f t="shared" si="145"/>
        <v>18572.47</v>
      </c>
      <c r="CZ336">
        <f t="shared" si="146"/>
        <v>1421</v>
      </c>
      <c r="DA336">
        <f t="shared" si="147"/>
        <v>13.07</v>
      </c>
      <c r="DB336">
        <f t="shared" si="121"/>
        <v>1.85</v>
      </c>
      <c r="DC336">
        <f t="shared" si="122"/>
        <v>0</v>
      </c>
      <c r="DD336" t="s">
        <v>3</v>
      </c>
      <c r="DE336" t="s">
        <v>3</v>
      </c>
      <c r="DF336">
        <f>ROUND(ROUND(AE336*AI336,2)*CX336,2)</f>
        <v>5.79</v>
      </c>
      <c r="DG336">
        <f t="shared" si="149"/>
        <v>0</v>
      </c>
      <c r="DH336">
        <f t="shared" si="150"/>
        <v>0</v>
      </c>
      <c r="DI336">
        <f t="shared" si="144"/>
        <v>0</v>
      </c>
      <c r="DJ336">
        <f t="shared" si="151"/>
        <v>5.79</v>
      </c>
      <c r="DK336">
        <v>0</v>
      </c>
      <c r="DL336" t="s">
        <v>3</v>
      </c>
      <c r="DM336">
        <v>0</v>
      </c>
      <c r="DN336" t="s">
        <v>3</v>
      </c>
      <c r="DO336">
        <v>0</v>
      </c>
    </row>
    <row r="337" spans="1:119" x14ac:dyDescent="0.2">
      <c r="A337">
        <f>ROW(Source!A331)</f>
        <v>331</v>
      </c>
      <c r="B337">
        <v>94798619</v>
      </c>
      <c r="C337">
        <v>94801691</v>
      </c>
      <c r="D337">
        <v>37744698</v>
      </c>
      <c r="E337">
        <v>1</v>
      </c>
      <c r="F337">
        <v>1</v>
      </c>
      <c r="G337">
        <v>1</v>
      </c>
      <c r="H337">
        <v>3</v>
      </c>
      <c r="I337" t="s">
        <v>178</v>
      </c>
      <c r="J337" t="s">
        <v>180</v>
      </c>
      <c r="K337" t="s">
        <v>179</v>
      </c>
      <c r="L337">
        <v>1348</v>
      </c>
      <c r="N337">
        <v>1009</v>
      </c>
      <c r="O337" t="s">
        <v>170</v>
      </c>
      <c r="P337" t="s">
        <v>170</v>
      </c>
      <c r="Q337">
        <v>1000</v>
      </c>
      <c r="W337">
        <v>0</v>
      </c>
      <c r="X337">
        <v>-763406924</v>
      </c>
      <c r="Y337">
        <f t="shared" si="120"/>
        <v>4.6999999999999999E-4</v>
      </c>
      <c r="AA337">
        <v>80130.600000000006</v>
      </c>
      <c r="AB337">
        <v>0</v>
      </c>
      <c r="AC337">
        <v>0</v>
      </c>
      <c r="AD337">
        <v>0</v>
      </c>
      <c r="AE337">
        <v>15620</v>
      </c>
      <c r="AF337">
        <v>0</v>
      </c>
      <c r="AG337">
        <v>0</v>
      </c>
      <c r="AH337">
        <v>0</v>
      </c>
      <c r="AI337">
        <v>5.13</v>
      </c>
      <c r="AJ337">
        <v>1</v>
      </c>
      <c r="AK337">
        <v>1</v>
      </c>
      <c r="AL337">
        <v>1</v>
      </c>
      <c r="AM337">
        <v>2</v>
      </c>
      <c r="AN337">
        <v>0</v>
      </c>
      <c r="AO337">
        <v>1</v>
      </c>
      <c r="AP337">
        <v>1</v>
      </c>
      <c r="AQ337">
        <v>0</v>
      </c>
      <c r="AR337">
        <v>0</v>
      </c>
      <c r="AS337" t="s">
        <v>3</v>
      </c>
      <c r="AT337">
        <v>4.6999999999999999E-4</v>
      </c>
      <c r="AU337" t="s">
        <v>3</v>
      </c>
      <c r="AV337">
        <v>0</v>
      </c>
      <c r="AW337">
        <v>2</v>
      </c>
      <c r="AX337">
        <v>94801714</v>
      </c>
      <c r="AY337">
        <v>1</v>
      </c>
      <c r="AZ337">
        <v>0</v>
      </c>
      <c r="BA337">
        <v>337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V337">
        <v>0</v>
      </c>
      <c r="CW337">
        <v>0</v>
      </c>
      <c r="CX337">
        <f>ROUND(Y337*Source!I331,9)</f>
        <v>1.128E-4</v>
      </c>
      <c r="CY337">
        <f t="shared" si="145"/>
        <v>80130.600000000006</v>
      </c>
      <c r="CZ337">
        <f t="shared" si="146"/>
        <v>15620</v>
      </c>
      <c r="DA337">
        <f t="shared" si="147"/>
        <v>5.13</v>
      </c>
      <c r="DB337">
        <f t="shared" si="121"/>
        <v>7.34</v>
      </c>
      <c r="DC337">
        <f t="shared" si="122"/>
        <v>0</v>
      </c>
      <c r="DD337" t="s">
        <v>3</v>
      </c>
      <c r="DE337" t="s">
        <v>3</v>
      </c>
      <c r="DF337">
        <f>ROUND(ROUND(AE337*AI337,2)*CX337,2)</f>
        <v>9.0399999999999991</v>
      </c>
      <c r="DG337">
        <f t="shared" si="149"/>
        <v>0</v>
      </c>
      <c r="DH337">
        <f t="shared" si="150"/>
        <v>0</v>
      </c>
      <c r="DI337">
        <f t="shared" si="144"/>
        <v>0</v>
      </c>
      <c r="DJ337">
        <f t="shared" si="151"/>
        <v>9.0399999999999991</v>
      </c>
      <c r="DK337">
        <v>0</v>
      </c>
      <c r="DL337" t="s">
        <v>3</v>
      </c>
      <c r="DM337">
        <v>0</v>
      </c>
      <c r="DN337" t="s">
        <v>3</v>
      </c>
      <c r="DO337">
        <v>0</v>
      </c>
    </row>
    <row r="338" spans="1:119" x14ac:dyDescent="0.2">
      <c r="A338">
        <f>ROW(Source!A331)</f>
        <v>331</v>
      </c>
      <c r="B338">
        <v>94798619</v>
      </c>
      <c r="C338">
        <v>94801691</v>
      </c>
      <c r="D338">
        <v>37751308</v>
      </c>
      <c r="E338">
        <v>1</v>
      </c>
      <c r="F338">
        <v>1</v>
      </c>
      <c r="G338">
        <v>1</v>
      </c>
      <c r="H338">
        <v>3</v>
      </c>
      <c r="I338" t="s">
        <v>860</v>
      </c>
      <c r="J338" t="s">
        <v>861</v>
      </c>
      <c r="K338" t="s">
        <v>862</v>
      </c>
      <c r="L338">
        <v>1348</v>
      </c>
      <c r="N338">
        <v>1009</v>
      </c>
      <c r="O338" t="s">
        <v>170</v>
      </c>
      <c r="P338" t="s">
        <v>170</v>
      </c>
      <c r="Q338">
        <v>1000</v>
      </c>
      <c r="W338">
        <v>0</v>
      </c>
      <c r="X338">
        <v>1152755346</v>
      </c>
      <c r="Y338">
        <f t="shared" si="120"/>
        <v>1.0999999999999999E-2</v>
      </c>
      <c r="AA338">
        <v>119227.52</v>
      </c>
      <c r="AB338">
        <v>0</v>
      </c>
      <c r="AC338">
        <v>0</v>
      </c>
      <c r="AD338">
        <v>0</v>
      </c>
      <c r="AE338">
        <v>7712</v>
      </c>
      <c r="AF338">
        <v>0</v>
      </c>
      <c r="AG338">
        <v>0</v>
      </c>
      <c r="AH338">
        <v>0</v>
      </c>
      <c r="AI338">
        <v>15.46</v>
      </c>
      <c r="AJ338">
        <v>1</v>
      </c>
      <c r="AK338">
        <v>1</v>
      </c>
      <c r="AL338">
        <v>1</v>
      </c>
      <c r="AM338">
        <v>2</v>
      </c>
      <c r="AN338">
        <v>0</v>
      </c>
      <c r="AO338">
        <v>1</v>
      </c>
      <c r="AP338">
        <v>1</v>
      </c>
      <c r="AQ338">
        <v>0</v>
      </c>
      <c r="AR338">
        <v>0</v>
      </c>
      <c r="AS338" t="s">
        <v>3</v>
      </c>
      <c r="AT338">
        <v>1.0999999999999999E-2</v>
      </c>
      <c r="AU338" t="s">
        <v>3</v>
      </c>
      <c r="AV338">
        <v>0</v>
      </c>
      <c r="AW338">
        <v>2</v>
      </c>
      <c r="AX338">
        <v>94801715</v>
      </c>
      <c r="AY338">
        <v>1</v>
      </c>
      <c r="AZ338">
        <v>0</v>
      </c>
      <c r="BA338">
        <v>338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V338">
        <v>0</v>
      </c>
      <c r="CW338">
        <v>0</v>
      </c>
      <c r="CX338">
        <f>ROUND(Y338*Source!I331,9)</f>
        <v>2.64E-3</v>
      </c>
      <c r="CY338">
        <f t="shared" si="145"/>
        <v>119227.52</v>
      </c>
      <c r="CZ338">
        <f t="shared" si="146"/>
        <v>7712</v>
      </c>
      <c r="DA338">
        <f t="shared" si="147"/>
        <v>15.46</v>
      </c>
      <c r="DB338">
        <f t="shared" si="121"/>
        <v>84.83</v>
      </c>
      <c r="DC338">
        <f t="shared" si="122"/>
        <v>0</v>
      </c>
      <c r="DD338" t="s">
        <v>3</v>
      </c>
      <c r="DE338" t="s">
        <v>3</v>
      </c>
      <c r="DF338">
        <f>ROUND(ROUND(AE338*AI338,2)*CX338,2)</f>
        <v>314.76</v>
      </c>
      <c r="DG338">
        <f t="shared" si="149"/>
        <v>0</v>
      </c>
      <c r="DH338">
        <f t="shared" si="150"/>
        <v>0</v>
      </c>
      <c r="DI338">
        <f t="shared" si="144"/>
        <v>0</v>
      </c>
      <c r="DJ338">
        <f t="shared" si="151"/>
        <v>314.76</v>
      </c>
      <c r="DK338">
        <v>0</v>
      </c>
      <c r="DL338" t="s">
        <v>3</v>
      </c>
      <c r="DM338">
        <v>0</v>
      </c>
      <c r="DN338" t="s">
        <v>3</v>
      </c>
      <c r="DO338">
        <v>0</v>
      </c>
    </row>
    <row r="339" spans="1:119" x14ac:dyDescent="0.2">
      <c r="A339">
        <f>ROW(Source!A331)</f>
        <v>331</v>
      </c>
      <c r="B339">
        <v>94798619</v>
      </c>
      <c r="C339">
        <v>94801691</v>
      </c>
      <c r="D339">
        <v>37790931</v>
      </c>
      <c r="E339">
        <v>1</v>
      </c>
      <c r="F339">
        <v>1</v>
      </c>
      <c r="G339">
        <v>1</v>
      </c>
      <c r="H339">
        <v>3</v>
      </c>
      <c r="I339" t="s">
        <v>863</v>
      </c>
      <c r="J339" t="s">
        <v>864</v>
      </c>
      <c r="K339" t="s">
        <v>865</v>
      </c>
      <c r="L339">
        <v>1302</v>
      </c>
      <c r="N339">
        <v>1003</v>
      </c>
      <c r="O339" t="s">
        <v>866</v>
      </c>
      <c r="P339" t="s">
        <v>866</v>
      </c>
      <c r="Q339">
        <v>10</v>
      </c>
      <c r="W339">
        <v>0</v>
      </c>
      <c r="X339">
        <v>-802941189</v>
      </c>
      <c r="Y339">
        <f t="shared" si="120"/>
        <v>1.6E-2</v>
      </c>
      <c r="AA339">
        <v>251.68</v>
      </c>
      <c r="AB339">
        <v>0</v>
      </c>
      <c r="AC339">
        <v>0</v>
      </c>
      <c r="AD339">
        <v>0</v>
      </c>
      <c r="AE339">
        <v>71.5</v>
      </c>
      <c r="AF339">
        <v>0</v>
      </c>
      <c r="AG339">
        <v>0</v>
      </c>
      <c r="AH339">
        <v>0</v>
      </c>
      <c r="AI339">
        <v>3.52</v>
      </c>
      <c r="AJ339">
        <v>1</v>
      </c>
      <c r="AK339">
        <v>1</v>
      </c>
      <c r="AL339">
        <v>1</v>
      </c>
      <c r="AM339">
        <v>2</v>
      </c>
      <c r="AN339">
        <v>0</v>
      </c>
      <c r="AO339">
        <v>1</v>
      </c>
      <c r="AP339">
        <v>1</v>
      </c>
      <c r="AQ339">
        <v>0</v>
      </c>
      <c r="AR339">
        <v>0</v>
      </c>
      <c r="AS339" t="s">
        <v>3</v>
      </c>
      <c r="AT339">
        <v>1.6E-2</v>
      </c>
      <c r="AU339" t="s">
        <v>3</v>
      </c>
      <c r="AV339">
        <v>0</v>
      </c>
      <c r="AW339">
        <v>2</v>
      </c>
      <c r="AX339">
        <v>94801716</v>
      </c>
      <c r="AY339">
        <v>1</v>
      </c>
      <c r="AZ339">
        <v>0</v>
      </c>
      <c r="BA339">
        <v>339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V339">
        <v>0</v>
      </c>
      <c r="CW339">
        <v>0</v>
      </c>
      <c r="CX339">
        <f>ROUND(Y339*Source!I331,9)</f>
        <v>3.8400000000000001E-3</v>
      </c>
      <c r="CY339">
        <f t="shared" si="145"/>
        <v>251.68</v>
      </c>
      <c r="CZ339">
        <f t="shared" si="146"/>
        <v>71.5</v>
      </c>
      <c r="DA339">
        <f t="shared" si="147"/>
        <v>3.52</v>
      </c>
      <c r="DB339">
        <f t="shared" si="121"/>
        <v>1.1399999999999999</v>
      </c>
      <c r="DC339">
        <f t="shared" si="122"/>
        <v>0</v>
      </c>
      <c r="DD339" t="s">
        <v>3</v>
      </c>
      <c r="DE339" t="s">
        <v>3</v>
      </c>
      <c r="DF339">
        <f>ROUND(ROUND(AE339*AI339,2)*CX339,2)</f>
        <v>0.97</v>
      </c>
      <c r="DG339">
        <f t="shared" si="149"/>
        <v>0</v>
      </c>
      <c r="DH339">
        <f t="shared" si="150"/>
        <v>0</v>
      </c>
      <c r="DI339">
        <f t="shared" si="144"/>
        <v>0</v>
      </c>
      <c r="DJ339">
        <f t="shared" si="151"/>
        <v>0.97</v>
      </c>
      <c r="DK339">
        <v>0</v>
      </c>
      <c r="DL339" t="s">
        <v>3</v>
      </c>
      <c r="DM339">
        <v>0</v>
      </c>
      <c r="DN339" t="s">
        <v>3</v>
      </c>
      <c r="DO339">
        <v>0</v>
      </c>
    </row>
    <row r="340" spans="1:119" x14ac:dyDescent="0.2">
      <c r="A340">
        <f>ROW(Source!A336)</f>
        <v>336</v>
      </c>
      <c r="B340">
        <v>94798619</v>
      </c>
      <c r="C340">
        <v>94802127</v>
      </c>
      <c r="D340">
        <v>23129487</v>
      </c>
      <c r="E340">
        <v>1</v>
      </c>
      <c r="F340">
        <v>1</v>
      </c>
      <c r="G340">
        <v>1</v>
      </c>
      <c r="H340">
        <v>1</v>
      </c>
      <c r="I340" t="s">
        <v>915</v>
      </c>
      <c r="J340" t="s">
        <v>3</v>
      </c>
      <c r="K340" t="s">
        <v>916</v>
      </c>
      <c r="L340">
        <v>1369</v>
      </c>
      <c r="N340">
        <v>1013</v>
      </c>
      <c r="O340" t="s">
        <v>696</v>
      </c>
      <c r="P340" t="s">
        <v>696</v>
      </c>
      <c r="Q340">
        <v>1</v>
      </c>
      <c r="W340">
        <v>0</v>
      </c>
      <c r="X340">
        <v>2002501603</v>
      </c>
      <c r="Y340">
        <f t="shared" si="120"/>
        <v>11.9</v>
      </c>
      <c r="AA340">
        <v>0</v>
      </c>
      <c r="AB340">
        <v>0</v>
      </c>
      <c r="AC340">
        <v>0</v>
      </c>
      <c r="AD340">
        <v>8.48</v>
      </c>
      <c r="AE340">
        <v>0</v>
      </c>
      <c r="AF340">
        <v>0</v>
      </c>
      <c r="AG340">
        <v>0</v>
      </c>
      <c r="AH340">
        <v>8.48</v>
      </c>
      <c r="AI340">
        <v>1</v>
      </c>
      <c r="AJ340">
        <v>1</v>
      </c>
      <c r="AK340">
        <v>1</v>
      </c>
      <c r="AL340">
        <v>1</v>
      </c>
      <c r="AM340">
        <v>-2</v>
      </c>
      <c r="AN340">
        <v>0</v>
      </c>
      <c r="AO340">
        <v>1</v>
      </c>
      <c r="AP340">
        <v>1</v>
      </c>
      <c r="AQ340">
        <v>0</v>
      </c>
      <c r="AR340">
        <v>0</v>
      </c>
      <c r="AS340" t="s">
        <v>3</v>
      </c>
      <c r="AT340">
        <v>11.9</v>
      </c>
      <c r="AU340" t="s">
        <v>3</v>
      </c>
      <c r="AV340">
        <v>1</v>
      </c>
      <c r="AW340">
        <v>2</v>
      </c>
      <c r="AX340">
        <v>94802132</v>
      </c>
      <c r="AY340">
        <v>1</v>
      </c>
      <c r="AZ340">
        <v>0</v>
      </c>
      <c r="BA340">
        <v>340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U340">
        <f>ROUND(AT340*Source!I336*AH340*AL340,2)</f>
        <v>60.55</v>
      </c>
      <c r="CV340">
        <f>ROUND(Y340*Source!I336,9)</f>
        <v>7.14</v>
      </c>
      <c r="CW340">
        <v>0</v>
      </c>
      <c r="CX340">
        <f>ROUND(Y340*Source!I336,9)</f>
        <v>7.14</v>
      </c>
      <c r="CY340">
        <f>AD340</f>
        <v>8.48</v>
      </c>
      <c r="CZ340">
        <f>AH340</f>
        <v>8.48</v>
      </c>
      <c r="DA340">
        <f>AL340</f>
        <v>1</v>
      </c>
      <c r="DB340">
        <f t="shared" si="121"/>
        <v>100.91</v>
      </c>
      <c r="DC340">
        <f t="shared" si="122"/>
        <v>0</v>
      </c>
      <c r="DD340" t="s">
        <v>3</v>
      </c>
      <c r="DE340" t="s">
        <v>3</v>
      </c>
      <c r="DF340">
        <f>ROUND(ROUND(AE340,2)*CX340,2)</f>
        <v>0</v>
      </c>
      <c r="DG340">
        <f t="shared" si="149"/>
        <v>0</v>
      </c>
      <c r="DH340">
        <f t="shared" si="150"/>
        <v>0</v>
      </c>
      <c r="DI340">
        <f t="shared" si="144"/>
        <v>60.55</v>
      </c>
      <c r="DJ340">
        <f>DI340</f>
        <v>60.55</v>
      </c>
      <c r="DK340">
        <v>0</v>
      </c>
      <c r="DL340" t="s">
        <v>3</v>
      </c>
      <c r="DM340">
        <v>0</v>
      </c>
      <c r="DN340" t="s">
        <v>3</v>
      </c>
      <c r="DO340">
        <v>0</v>
      </c>
    </row>
    <row r="341" spans="1:119" x14ac:dyDescent="0.2">
      <c r="A341">
        <f>ROW(Source!A336)</f>
        <v>336</v>
      </c>
      <c r="B341">
        <v>94798619</v>
      </c>
      <c r="C341">
        <v>94802127</v>
      </c>
      <c r="D341">
        <v>37804456</v>
      </c>
      <c r="E341">
        <v>1</v>
      </c>
      <c r="F341">
        <v>1</v>
      </c>
      <c r="G341">
        <v>1</v>
      </c>
      <c r="H341">
        <v>2</v>
      </c>
      <c r="I341" t="s">
        <v>713</v>
      </c>
      <c r="J341" t="s">
        <v>714</v>
      </c>
      <c r="K341" t="s">
        <v>715</v>
      </c>
      <c r="L341">
        <v>1368</v>
      </c>
      <c r="N341">
        <v>1011</v>
      </c>
      <c r="O341" t="s">
        <v>700</v>
      </c>
      <c r="P341" t="s">
        <v>700</v>
      </c>
      <c r="Q341">
        <v>1</v>
      </c>
      <c r="W341">
        <v>0</v>
      </c>
      <c r="X341">
        <v>-671646184</v>
      </c>
      <c r="Y341">
        <f t="shared" si="120"/>
        <v>0.03</v>
      </c>
      <c r="AA341">
        <v>0</v>
      </c>
      <c r="AB341">
        <v>1305.74</v>
      </c>
      <c r="AC341">
        <v>365.04</v>
      </c>
      <c r="AD341">
        <v>0</v>
      </c>
      <c r="AE341">
        <v>0</v>
      </c>
      <c r="AF341">
        <v>91.76</v>
      </c>
      <c r="AG341">
        <v>10.35</v>
      </c>
      <c r="AH341">
        <v>0</v>
      </c>
      <c r="AI341">
        <v>1</v>
      </c>
      <c r="AJ341">
        <v>14.23</v>
      </c>
      <c r="AK341">
        <v>35.270000000000003</v>
      </c>
      <c r="AL341">
        <v>1</v>
      </c>
      <c r="AM341">
        <v>2</v>
      </c>
      <c r="AN341">
        <v>0</v>
      </c>
      <c r="AO341">
        <v>1</v>
      </c>
      <c r="AP341">
        <v>1</v>
      </c>
      <c r="AQ341">
        <v>0</v>
      </c>
      <c r="AR341">
        <v>0</v>
      </c>
      <c r="AS341" t="s">
        <v>3</v>
      </c>
      <c r="AT341">
        <v>0.03</v>
      </c>
      <c r="AU341" t="s">
        <v>3</v>
      </c>
      <c r="AV341">
        <v>0</v>
      </c>
      <c r="AW341">
        <v>2</v>
      </c>
      <c r="AX341">
        <v>94802133</v>
      </c>
      <c r="AY341">
        <v>1</v>
      </c>
      <c r="AZ341">
        <v>0</v>
      </c>
      <c r="BA341">
        <v>341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V341">
        <v>0</v>
      </c>
      <c r="CW341">
        <f>ROUND(Y341*Source!I336*DO341,9)</f>
        <v>0</v>
      </c>
      <c r="CX341">
        <f>ROUND(Y341*Source!I336,9)</f>
        <v>1.7999999999999999E-2</v>
      </c>
      <c r="CY341">
        <f>AB341</f>
        <v>1305.74</v>
      </c>
      <c r="CZ341">
        <f>AF341</f>
        <v>91.76</v>
      </c>
      <c r="DA341">
        <f>AJ341</f>
        <v>14.23</v>
      </c>
      <c r="DB341">
        <f t="shared" si="121"/>
        <v>2.75</v>
      </c>
      <c r="DC341">
        <f t="shared" si="122"/>
        <v>0.31</v>
      </c>
      <c r="DD341" t="s">
        <v>3</v>
      </c>
      <c r="DE341" t="s">
        <v>3</v>
      </c>
      <c r="DF341">
        <f>ROUND(ROUND(AE341,2)*CX341,2)</f>
        <v>0</v>
      </c>
      <c r="DG341">
        <f>ROUND(ROUND(AF341*AJ341,2)*CX341,2)</f>
        <v>23.5</v>
      </c>
      <c r="DH341">
        <f>ROUND(ROUND(AG341*AK341,2)*CX341,2)</f>
        <v>6.57</v>
      </c>
      <c r="DI341">
        <f t="shared" si="144"/>
        <v>0</v>
      </c>
      <c r="DJ341">
        <f>DG341</f>
        <v>23.5</v>
      </c>
      <c r="DK341">
        <v>0</v>
      </c>
      <c r="DL341" t="s">
        <v>3</v>
      </c>
      <c r="DM341">
        <v>0</v>
      </c>
      <c r="DN341" t="s">
        <v>3</v>
      </c>
      <c r="DO341">
        <v>0</v>
      </c>
    </row>
    <row r="342" spans="1:119" x14ac:dyDescent="0.2">
      <c r="A342">
        <f>ROW(Source!A336)</f>
        <v>336</v>
      </c>
      <c r="B342">
        <v>94798619</v>
      </c>
      <c r="C342">
        <v>94802127</v>
      </c>
      <c r="D342">
        <v>37736859</v>
      </c>
      <c r="E342">
        <v>1</v>
      </c>
      <c r="F342">
        <v>1</v>
      </c>
      <c r="G342">
        <v>1</v>
      </c>
      <c r="H342">
        <v>3</v>
      </c>
      <c r="I342" t="s">
        <v>252</v>
      </c>
      <c r="J342" t="s">
        <v>254</v>
      </c>
      <c r="K342" t="s">
        <v>253</v>
      </c>
      <c r="L342">
        <v>1348</v>
      </c>
      <c r="N342">
        <v>1009</v>
      </c>
      <c r="O342" t="s">
        <v>170</v>
      </c>
      <c r="P342" t="s">
        <v>170</v>
      </c>
      <c r="Q342">
        <v>1000</v>
      </c>
      <c r="W342">
        <v>0</v>
      </c>
      <c r="X342">
        <v>-384985709</v>
      </c>
      <c r="Y342">
        <f t="shared" si="120"/>
        <v>5.0000000000000001E-3</v>
      </c>
      <c r="AA342">
        <v>208824.23</v>
      </c>
      <c r="AB342">
        <v>0</v>
      </c>
      <c r="AC342">
        <v>0</v>
      </c>
      <c r="AD342">
        <v>0</v>
      </c>
      <c r="AE342">
        <v>9040.01</v>
      </c>
      <c r="AF342">
        <v>0</v>
      </c>
      <c r="AG342">
        <v>0</v>
      </c>
      <c r="AH342">
        <v>0</v>
      </c>
      <c r="AI342">
        <v>23.1</v>
      </c>
      <c r="AJ342">
        <v>1</v>
      </c>
      <c r="AK342">
        <v>1</v>
      </c>
      <c r="AL342">
        <v>1</v>
      </c>
      <c r="AM342">
        <v>0</v>
      </c>
      <c r="AN342">
        <v>1</v>
      </c>
      <c r="AO342">
        <v>0</v>
      </c>
      <c r="AP342">
        <v>1</v>
      </c>
      <c r="AQ342">
        <v>0</v>
      </c>
      <c r="AR342">
        <v>0</v>
      </c>
      <c r="AS342" t="s">
        <v>3</v>
      </c>
      <c r="AT342">
        <v>5.0000000000000001E-3</v>
      </c>
      <c r="AU342" t="s">
        <v>3</v>
      </c>
      <c r="AV342">
        <v>0</v>
      </c>
      <c r="AW342">
        <v>2</v>
      </c>
      <c r="AX342">
        <v>94802134</v>
      </c>
      <c r="AY342">
        <v>1</v>
      </c>
      <c r="AZ342">
        <v>6144</v>
      </c>
      <c r="BA342">
        <v>342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V342">
        <v>0</v>
      </c>
      <c r="CW342">
        <v>0</v>
      </c>
      <c r="CX342">
        <f>ROUND(Y342*Source!I336,9)</f>
        <v>3.0000000000000001E-3</v>
      </c>
      <c r="CY342">
        <f>AA342</f>
        <v>208824.23</v>
      </c>
      <c r="CZ342">
        <f>AE342</f>
        <v>9040.01</v>
      </c>
      <c r="DA342">
        <f>AI342</f>
        <v>23.1</v>
      </c>
      <c r="DB342">
        <f t="shared" si="121"/>
        <v>45.2</v>
      </c>
      <c r="DC342">
        <f t="shared" si="122"/>
        <v>0</v>
      </c>
      <c r="DD342" t="s">
        <v>3</v>
      </c>
      <c r="DE342" t="s">
        <v>3</v>
      </c>
      <c r="DF342">
        <f>ROUND(ROUND(AE342*AI342,2)*CX342,2)</f>
        <v>626.47</v>
      </c>
      <c r="DG342">
        <f>ROUND(ROUND(AF342,2)*CX342,2)</f>
        <v>0</v>
      </c>
      <c r="DH342">
        <f>ROUND(ROUND(AG342,2)*CX342,2)</f>
        <v>0</v>
      </c>
      <c r="DI342">
        <f t="shared" si="144"/>
        <v>0</v>
      </c>
      <c r="DJ342">
        <f>DF342</f>
        <v>626.47</v>
      </c>
      <c r="DK342">
        <v>0</v>
      </c>
      <c r="DL342" t="s">
        <v>3</v>
      </c>
      <c r="DM342">
        <v>0</v>
      </c>
      <c r="DN342" t="s">
        <v>3</v>
      </c>
      <c r="DO342">
        <v>0</v>
      </c>
    </row>
    <row r="343" spans="1:119" x14ac:dyDescent="0.2">
      <c r="A343">
        <f>ROW(Source!A426)</f>
        <v>426</v>
      </c>
      <c r="B343">
        <v>94798619</v>
      </c>
      <c r="C343">
        <v>94802303</v>
      </c>
      <c r="D343">
        <v>23129555</v>
      </c>
      <c r="E343">
        <v>1</v>
      </c>
      <c r="F343">
        <v>1</v>
      </c>
      <c r="G343">
        <v>1</v>
      </c>
      <c r="H343">
        <v>1</v>
      </c>
      <c r="I343" t="s">
        <v>701</v>
      </c>
      <c r="J343" t="s">
        <v>3</v>
      </c>
      <c r="K343" t="s">
        <v>702</v>
      </c>
      <c r="L343">
        <v>1369</v>
      </c>
      <c r="N343">
        <v>1013</v>
      </c>
      <c r="O343" t="s">
        <v>696</v>
      </c>
      <c r="P343" t="s">
        <v>696</v>
      </c>
      <c r="Q343">
        <v>1</v>
      </c>
      <c r="W343">
        <v>0</v>
      </c>
      <c r="X343">
        <v>1250814213</v>
      </c>
      <c r="Y343">
        <f t="shared" si="120"/>
        <v>31.32</v>
      </c>
      <c r="AA343">
        <v>0</v>
      </c>
      <c r="AB343">
        <v>0</v>
      </c>
      <c r="AC343">
        <v>0</v>
      </c>
      <c r="AD343">
        <v>7.29</v>
      </c>
      <c r="AE343">
        <v>0</v>
      </c>
      <c r="AF343">
        <v>0</v>
      </c>
      <c r="AG343">
        <v>0</v>
      </c>
      <c r="AH343">
        <v>7.29</v>
      </c>
      <c r="AI343">
        <v>1</v>
      </c>
      <c r="AJ343">
        <v>1</v>
      </c>
      <c r="AK343">
        <v>1</v>
      </c>
      <c r="AL343">
        <v>1</v>
      </c>
      <c r="AM343">
        <v>-2</v>
      </c>
      <c r="AN343">
        <v>0</v>
      </c>
      <c r="AO343">
        <v>1</v>
      </c>
      <c r="AP343">
        <v>1</v>
      </c>
      <c r="AQ343">
        <v>0</v>
      </c>
      <c r="AR343">
        <v>0</v>
      </c>
      <c r="AS343" t="s">
        <v>3</v>
      </c>
      <c r="AT343">
        <v>31.32</v>
      </c>
      <c r="AU343" t="s">
        <v>3</v>
      </c>
      <c r="AV343">
        <v>1</v>
      </c>
      <c r="AW343">
        <v>2</v>
      </c>
      <c r="AX343">
        <v>94802310</v>
      </c>
      <c r="AY343">
        <v>1</v>
      </c>
      <c r="AZ343">
        <v>0</v>
      </c>
      <c r="BA343">
        <v>343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U343">
        <f>ROUND(AT343*Source!I426*AH343*AL343,2)</f>
        <v>2.6</v>
      </c>
      <c r="CV343">
        <f>ROUND(Y343*Source!I426,9)</f>
        <v>0.35704799999999998</v>
      </c>
      <c r="CW343">
        <v>0</v>
      </c>
      <c r="CX343">
        <f>ROUND(Y343*Source!I426,9)</f>
        <v>0.35704799999999998</v>
      </c>
      <c r="CY343">
        <f>AD343</f>
        <v>7.29</v>
      </c>
      <c r="CZ343">
        <f>AH343</f>
        <v>7.29</v>
      </c>
      <c r="DA343">
        <f>AL343</f>
        <v>1</v>
      </c>
      <c r="DB343">
        <f t="shared" si="121"/>
        <v>228.32</v>
      </c>
      <c r="DC343">
        <f t="shared" si="122"/>
        <v>0</v>
      </c>
      <c r="DD343" t="s">
        <v>3</v>
      </c>
      <c r="DE343" t="s">
        <v>3</v>
      </c>
      <c r="DF343">
        <f>ROUND(ROUND(AE343,2)*CX343,2)</f>
        <v>0</v>
      </c>
      <c r="DG343">
        <f>ROUND(ROUND(AF343,2)*CX343,2)</f>
        <v>0</v>
      </c>
      <c r="DH343">
        <f>ROUND(ROUND(AG343,2)*CX343,2)</f>
        <v>0</v>
      </c>
      <c r="DI343">
        <f t="shared" si="144"/>
        <v>2.6</v>
      </c>
      <c r="DJ343">
        <f>DI343</f>
        <v>2.6</v>
      </c>
      <c r="DK343">
        <v>0</v>
      </c>
      <c r="DL343" t="s">
        <v>3</v>
      </c>
      <c r="DM343">
        <v>0</v>
      </c>
      <c r="DN343" t="s">
        <v>3</v>
      </c>
      <c r="DO343">
        <v>0</v>
      </c>
    </row>
    <row r="344" spans="1:119" x14ac:dyDescent="0.2">
      <c r="A344">
        <f>ROW(Source!A426)</f>
        <v>426</v>
      </c>
      <c r="B344">
        <v>94798619</v>
      </c>
      <c r="C344">
        <v>94802303</v>
      </c>
      <c r="D344">
        <v>121548</v>
      </c>
      <c r="E344">
        <v>1</v>
      </c>
      <c r="F344">
        <v>1</v>
      </c>
      <c r="G344">
        <v>1</v>
      </c>
      <c r="H344">
        <v>1</v>
      </c>
      <c r="I344" t="s">
        <v>28</v>
      </c>
      <c r="J344" t="s">
        <v>3</v>
      </c>
      <c r="K344" t="s">
        <v>705</v>
      </c>
      <c r="L344">
        <v>608254</v>
      </c>
      <c r="N344">
        <v>1013</v>
      </c>
      <c r="O344" t="s">
        <v>706</v>
      </c>
      <c r="P344" t="s">
        <v>706</v>
      </c>
      <c r="Q344">
        <v>1</v>
      </c>
      <c r="W344">
        <v>0</v>
      </c>
      <c r="X344">
        <v>-185737400</v>
      </c>
      <c r="Y344">
        <f t="shared" si="120"/>
        <v>90.09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M344">
        <v>-2</v>
      </c>
      <c r="AN344">
        <v>0</v>
      </c>
      <c r="AO344">
        <v>1</v>
      </c>
      <c r="AP344">
        <v>1</v>
      </c>
      <c r="AQ344">
        <v>0</v>
      </c>
      <c r="AR344">
        <v>0</v>
      </c>
      <c r="AS344" t="s">
        <v>3</v>
      </c>
      <c r="AT344">
        <v>90.09</v>
      </c>
      <c r="AU344" t="s">
        <v>3</v>
      </c>
      <c r="AV344">
        <v>2</v>
      </c>
      <c r="AW344">
        <v>2</v>
      </c>
      <c r="AX344">
        <v>94802311</v>
      </c>
      <c r="AY344">
        <v>1</v>
      </c>
      <c r="AZ344">
        <v>0</v>
      </c>
      <c r="BA344">
        <v>344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V344">
        <v>0</v>
      </c>
      <c r="CW344">
        <v>0</v>
      </c>
      <c r="CX344">
        <f>ROUND(Y344*Source!I426,9)</f>
        <v>1.027026</v>
      </c>
      <c r="CY344">
        <f>AD344</f>
        <v>0</v>
      </c>
      <c r="CZ344">
        <f>AH344</f>
        <v>0</v>
      </c>
      <c r="DA344">
        <f>AL344</f>
        <v>1</v>
      </c>
      <c r="DB344">
        <f t="shared" si="121"/>
        <v>0</v>
      </c>
      <c r="DC344">
        <f t="shared" si="122"/>
        <v>0</v>
      </c>
      <c r="DD344" t="s">
        <v>3</v>
      </c>
      <c r="DE344" t="s">
        <v>3</v>
      </c>
      <c r="DF344">
        <f>ROUND(ROUND(AE344,2)*CX344,2)</f>
        <v>0</v>
      </c>
      <c r="DG344">
        <f>ROUND(ROUND(AF344,2)*CX344,2)</f>
        <v>0</v>
      </c>
      <c r="DH344">
        <f>ROUND(ROUND(AG344,2)*CX344,2)</f>
        <v>0</v>
      </c>
      <c r="DI344">
        <f t="shared" si="144"/>
        <v>0</v>
      </c>
      <c r="DJ344">
        <f>DI344</f>
        <v>0</v>
      </c>
      <c r="DK344">
        <v>0</v>
      </c>
      <c r="DL344" t="s">
        <v>3</v>
      </c>
      <c r="DM344">
        <v>0</v>
      </c>
      <c r="DN344" t="s">
        <v>3</v>
      </c>
      <c r="DO344">
        <v>0</v>
      </c>
    </row>
    <row r="345" spans="1:119" x14ac:dyDescent="0.2">
      <c r="A345">
        <f>ROW(Source!A426)</f>
        <v>426</v>
      </c>
      <c r="B345">
        <v>94798619</v>
      </c>
      <c r="C345">
        <v>94802303</v>
      </c>
      <c r="D345">
        <v>37802763</v>
      </c>
      <c r="E345">
        <v>1</v>
      </c>
      <c r="F345">
        <v>1</v>
      </c>
      <c r="G345">
        <v>1</v>
      </c>
      <c r="H345">
        <v>2</v>
      </c>
      <c r="I345" t="s">
        <v>984</v>
      </c>
      <c r="J345" t="s">
        <v>985</v>
      </c>
      <c r="K345" t="s">
        <v>986</v>
      </c>
      <c r="L345">
        <v>1368</v>
      </c>
      <c r="N345">
        <v>1011</v>
      </c>
      <c r="O345" t="s">
        <v>700</v>
      </c>
      <c r="P345" t="s">
        <v>700</v>
      </c>
      <c r="Q345">
        <v>1</v>
      </c>
      <c r="W345">
        <v>0</v>
      </c>
      <c r="X345">
        <v>-242827276</v>
      </c>
      <c r="Y345">
        <f t="shared" si="120"/>
        <v>73.040000000000006</v>
      </c>
      <c r="AA345">
        <v>0</v>
      </c>
      <c r="AB345">
        <v>1396.38</v>
      </c>
      <c r="AC345">
        <v>365.04</v>
      </c>
      <c r="AD345">
        <v>0</v>
      </c>
      <c r="AE345">
        <v>0</v>
      </c>
      <c r="AF345">
        <v>74</v>
      </c>
      <c r="AG345">
        <v>10.35</v>
      </c>
      <c r="AH345">
        <v>0</v>
      </c>
      <c r="AI345">
        <v>1</v>
      </c>
      <c r="AJ345">
        <v>18.87</v>
      </c>
      <c r="AK345">
        <v>35.270000000000003</v>
      </c>
      <c r="AL345">
        <v>1</v>
      </c>
      <c r="AM345">
        <v>2</v>
      </c>
      <c r="AN345">
        <v>0</v>
      </c>
      <c r="AO345">
        <v>1</v>
      </c>
      <c r="AP345">
        <v>1</v>
      </c>
      <c r="AQ345">
        <v>0</v>
      </c>
      <c r="AR345">
        <v>0</v>
      </c>
      <c r="AS345" t="s">
        <v>3</v>
      </c>
      <c r="AT345">
        <v>73.040000000000006</v>
      </c>
      <c r="AU345" t="s">
        <v>3</v>
      </c>
      <c r="AV345">
        <v>0</v>
      </c>
      <c r="AW345">
        <v>2</v>
      </c>
      <c r="AX345">
        <v>94802312</v>
      </c>
      <c r="AY345">
        <v>1</v>
      </c>
      <c r="AZ345">
        <v>0</v>
      </c>
      <c r="BA345">
        <v>345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V345">
        <v>0</v>
      </c>
      <c r="CW345">
        <f>ROUND(Y345*Source!I426*DO345,9)</f>
        <v>0</v>
      </c>
      <c r="CX345">
        <f>ROUND(Y345*Source!I426,9)</f>
        <v>0.83265599999999995</v>
      </c>
      <c r="CY345">
        <f>AB345</f>
        <v>1396.38</v>
      </c>
      <c r="CZ345">
        <f>AF345</f>
        <v>74</v>
      </c>
      <c r="DA345">
        <f>AJ345</f>
        <v>18.87</v>
      </c>
      <c r="DB345">
        <f t="shared" si="121"/>
        <v>5404.96</v>
      </c>
      <c r="DC345">
        <f t="shared" si="122"/>
        <v>755.96</v>
      </c>
      <c r="DD345" t="s">
        <v>3</v>
      </c>
      <c r="DE345" t="s">
        <v>3</v>
      </c>
      <c r="DF345">
        <f>ROUND(ROUND(AE345,2)*CX345,2)</f>
        <v>0</v>
      </c>
      <c r="DG345">
        <f>ROUND(ROUND(AF345*AJ345,2)*CX345,2)</f>
        <v>1162.7</v>
      </c>
      <c r="DH345">
        <f>ROUND(ROUND(AG345*AK345,2)*CX345,2)</f>
        <v>303.95</v>
      </c>
      <c r="DI345">
        <f t="shared" si="144"/>
        <v>0</v>
      </c>
      <c r="DJ345">
        <f>DG345</f>
        <v>1162.7</v>
      </c>
      <c r="DK345">
        <v>0</v>
      </c>
      <c r="DL345" t="s">
        <v>3</v>
      </c>
      <c r="DM345">
        <v>0</v>
      </c>
      <c r="DN345" t="s">
        <v>3</v>
      </c>
      <c r="DO345">
        <v>0</v>
      </c>
    </row>
    <row r="346" spans="1:119" x14ac:dyDescent="0.2">
      <c r="A346">
        <f>ROW(Source!A426)</f>
        <v>426</v>
      </c>
      <c r="B346">
        <v>94798619</v>
      </c>
      <c r="C346">
        <v>94802303</v>
      </c>
      <c r="D346">
        <v>37802809</v>
      </c>
      <c r="E346">
        <v>1</v>
      </c>
      <c r="F346">
        <v>1</v>
      </c>
      <c r="G346">
        <v>1</v>
      </c>
      <c r="H346">
        <v>2</v>
      </c>
      <c r="I346" t="s">
        <v>763</v>
      </c>
      <c r="J346" t="s">
        <v>764</v>
      </c>
      <c r="K346" t="s">
        <v>765</v>
      </c>
      <c r="L346">
        <v>1368</v>
      </c>
      <c r="N346">
        <v>1011</v>
      </c>
      <c r="O346" t="s">
        <v>700</v>
      </c>
      <c r="P346" t="s">
        <v>700</v>
      </c>
      <c r="Q346">
        <v>1</v>
      </c>
      <c r="W346">
        <v>0</v>
      </c>
      <c r="X346">
        <v>-521383579</v>
      </c>
      <c r="Y346">
        <f t="shared" si="120"/>
        <v>17.05</v>
      </c>
      <c r="AA346">
        <v>0</v>
      </c>
      <c r="AB346">
        <v>1506.6</v>
      </c>
      <c r="AC346">
        <v>365.04</v>
      </c>
      <c r="AD346">
        <v>0</v>
      </c>
      <c r="AE346">
        <v>0</v>
      </c>
      <c r="AF346">
        <v>102.49</v>
      </c>
      <c r="AG346">
        <v>10.35</v>
      </c>
      <c r="AH346">
        <v>0</v>
      </c>
      <c r="AI346">
        <v>1</v>
      </c>
      <c r="AJ346">
        <v>14.7</v>
      </c>
      <c r="AK346">
        <v>35.270000000000003</v>
      </c>
      <c r="AL346">
        <v>1</v>
      </c>
      <c r="AM346">
        <v>2</v>
      </c>
      <c r="AN346">
        <v>0</v>
      </c>
      <c r="AO346">
        <v>1</v>
      </c>
      <c r="AP346">
        <v>1</v>
      </c>
      <c r="AQ346">
        <v>0</v>
      </c>
      <c r="AR346">
        <v>0</v>
      </c>
      <c r="AS346" t="s">
        <v>3</v>
      </c>
      <c r="AT346">
        <v>17.05</v>
      </c>
      <c r="AU346" t="s">
        <v>3</v>
      </c>
      <c r="AV346">
        <v>0</v>
      </c>
      <c r="AW346">
        <v>2</v>
      </c>
      <c r="AX346">
        <v>94802313</v>
      </c>
      <c r="AY346">
        <v>1</v>
      </c>
      <c r="AZ346">
        <v>0</v>
      </c>
      <c r="BA346">
        <v>346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V346">
        <v>0</v>
      </c>
      <c r="CW346">
        <f>ROUND(Y346*Source!I426*DO346,9)</f>
        <v>0</v>
      </c>
      <c r="CX346">
        <f>ROUND(Y346*Source!I426,9)</f>
        <v>0.19436999999999999</v>
      </c>
      <c r="CY346">
        <f>AB346</f>
        <v>1506.6</v>
      </c>
      <c r="CZ346">
        <f>AF346</f>
        <v>102.49</v>
      </c>
      <c r="DA346">
        <f>AJ346</f>
        <v>14.7</v>
      </c>
      <c r="DB346">
        <f t="shared" si="121"/>
        <v>1747.45</v>
      </c>
      <c r="DC346">
        <f t="shared" si="122"/>
        <v>176.47</v>
      </c>
      <c r="DD346" t="s">
        <v>3</v>
      </c>
      <c r="DE346" t="s">
        <v>3</v>
      </c>
      <c r="DF346">
        <f>ROUND(ROUND(AE346,2)*CX346,2)</f>
        <v>0</v>
      </c>
      <c r="DG346">
        <f>ROUND(ROUND(AF346*AJ346,2)*CX346,2)</f>
        <v>292.83999999999997</v>
      </c>
      <c r="DH346">
        <f>ROUND(ROUND(AG346*AK346,2)*CX346,2)</f>
        <v>70.95</v>
      </c>
      <c r="DI346">
        <f t="shared" si="144"/>
        <v>0</v>
      </c>
      <c r="DJ346">
        <f>DG346</f>
        <v>292.83999999999997</v>
      </c>
      <c r="DK346">
        <v>0</v>
      </c>
      <c r="DL346" t="s">
        <v>3</v>
      </c>
      <c r="DM346">
        <v>0</v>
      </c>
      <c r="DN346" t="s">
        <v>3</v>
      </c>
      <c r="DO346">
        <v>0</v>
      </c>
    </row>
    <row r="347" spans="1:119" x14ac:dyDescent="0.2">
      <c r="A347">
        <f>ROW(Source!A426)</f>
        <v>426</v>
      </c>
      <c r="B347">
        <v>94798619</v>
      </c>
      <c r="C347">
        <v>94802303</v>
      </c>
      <c r="D347">
        <v>37777283</v>
      </c>
      <c r="E347">
        <v>1</v>
      </c>
      <c r="F347">
        <v>1</v>
      </c>
      <c r="G347">
        <v>1</v>
      </c>
      <c r="H347">
        <v>3</v>
      </c>
      <c r="I347" t="s">
        <v>987</v>
      </c>
      <c r="J347" t="s">
        <v>988</v>
      </c>
      <c r="K347" t="s">
        <v>989</v>
      </c>
      <c r="L347">
        <v>1339</v>
      </c>
      <c r="N347">
        <v>1007</v>
      </c>
      <c r="O347" t="s">
        <v>52</v>
      </c>
      <c r="P347" t="s">
        <v>52</v>
      </c>
      <c r="Q347">
        <v>1</v>
      </c>
      <c r="W347">
        <v>0</v>
      </c>
      <c r="X347">
        <v>2013269764</v>
      </c>
      <c r="Y347">
        <f t="shared" ref="Y347:Y410" si="152">AT347</f>
        <v>0.04</v>
      </c>
      <c r="AA347">
        <v>4024.97</v>
      </c>
      <c r="AB347">
        <v>0</v>
      </c>
      <c r="AC347">
        <v>0</v>
      </c>
      <c r="AD347">
        <v>0</v>
      </c>
      <c r="AE347">
        <v>269.77</v>
      </c>
      <c r="AF347">
        <v>0</v>
      </c>
      <c r="AG347">
        <v>0</v>
      </c>
      <c r="AH347">
        <v>0</v>
      </c>
      <c r="AI347">
        <v>14.92</v>
      </c>
      <c r="AJ347">
        <v>1</v>
      </c>
      <c r="AK347">
        <v>1</v>
      </c>
      <c r="AL347">
        <v>1</v>
      </c>
      <c r="AM347">
        <v>2</v>
      </c>
      <c r="AN347">
        <v>0</v>
      </c>
      <c r="AO347">
        <v>1</v>
      </c>
      <c r="AP347">
        <v>1</v>
      </c>
      <c r="AQ347">
        <v>0</v>
      </c>
      <c r="AR347">
        <v>0</v>
      </c>
      <c r="AS347" t="s">
        <v>3</v>
      </c>
      <c r="AT347">
        <v>0.04</v>
      </c>
      <c r="AU347" t="s">
        <v>3</v>
      </c>
      <c r="AV347">
        <v>0</v>
      </c>
      <c r="AW347">
        <v>2</v>
      </c>
      <c r="AX347">
        <v>94802314</v>
      </c>
      <c r="AY347">
        <v>1</v>
      </c>
      <c r="AZ347">
        <v>0</v>
      </c>
      <c r="BA347">
        <v>347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V347">
        <v>0</v>
      </c>
      <c r="CW347">
        <v>0</v>
      </c>
      <c r="CX347">
        <f>ROUND(Y347*Source!I426,9)</f>
        <v>4.5600000000000003E-4</v>
      </c>
      <c r="CY347">
        <f>AA347</f>
        <v>4024.97</v>
      </c>
      <c r="CZ347">
        <f>AE347</f>
        <v>269.77</v>
      </c>
      <c r="DA347">
        <f>AI347</f>
        <v>14.92</v>
      </c>
      <c r="DB347">
        <f t="shared" ref="DB347:DB410" si="153">ROUND(ROUND(AT347*CZ347,2),2)</f>
        <v>10.79</v>
      </c>
      <c r="DC347">
        <f t="shared" ref="DC347:DC410" si="154">ROUND(ROUND(AT347*AG347,2),2)</f>
        <v>0</v>
      </c>
      <c r="DD347" t="s">
        <v>3</v>
      </c>
      <c r="DE347" t="s">
        <v>3</v>
      </c>
      <c r="DF347">
        <f>ROUND(ROUND(AE347*AI347,2)*CX347,2)</f>
        <v>1.84</v>
      </c>
      <c r="DG347">
        <f>ROUND(ROUND(AF347,2)*CX347,2)</f>
        <v>0</v>
      </c>
      <c r="DH347">
        <f>ROUND(ROUND(AG347,2)*CX347,2)</f>
        <v>0</v>
      </c>
      <c r="DI347">
        <f t="shared" si="144"/>
        <v>0</v>
      </c>
      <c r="DJ347">
        <f>DF347</f>
        <v>1.84</v>
      </c>
      <c r="DK347">
        <v>0</v>
      </c>
      <c r="DL347" t="s">
        <v>3</v>
      </c>
      <c r="DM347">
        <v>0</v>
      </c>
      <c r="DN347" t="s">
        <v>3</v>
      </c>
      <c r="DO347">
        <v>0</v>
      </c>
    </row>
    <row r="348" spans="1:119" x14ac:dyDescent="0.2">
      <c r="A348">
        <f>ROW(Source!A427)</f>
        <v>427</v>
      </c>
      <c r="B348">
        <v>94798619</v>
      </c>
      <c r="C348">
        <v>94802315</v>
      </c>
      <c r="D348">
        <v>23131038</v>
      </c>
      <c r="E348">
        <v>1</v>
      </c>
      <c r="F348">
        <v>1</v>
      </c>
      <c r="G348">
        <v>1</v>
      </c>
      <c r="H348">
        <v>1</v>
      </c>
      <c r="I348" t="s">
        <v>872</v>
      </c>
      <c r="J348" t="s">
        <v>3</v>
      </c>
      <c r="K348" t="s">
        <v>873</v>
      </c>
      <c r="L348">
        <v>1369</v>
      </c>
      <c r="N348">
        <v>1013</v>
      </c>
      <c r="O348" t="s">
        <v>696</v>
      </c>
      <c r="P348" t="s">
        <v>696</v>
      </c>
      <c r="Q348">
        <v>1</v>
      </c>
      <c r="W348">
        <v>0</v>
      </c>
      <c r="X348">
        <v>-1903398286</v>
      </c>
      <c r="Y348">
        <f t="shared" si="152"/>
        <v>15.72</v>
      </c>
      <c r="AA348">
        <v>0</v>
      </c>
      <c r="AB348">
        <v>0</v>
      </c>
      <c r="AC348">
        <v>0</v>
      </c>
      <c r="AD348">
        <v>7.49</v>
      </c>
      <c r="AE348">
        <v>0</v>
      </c>
      <c r="AF348">
        <v>0</v>
      </c>
      <c r="AG348">
        <v>0</v>
      </c>
      <c r="AH348">
        <v>7.49</v>
      </c>
      <c r="AI348">
        <v>1</v>
      </c>
      <c r="AJ348">
        <v>1</v>
      </c>
      <c r="AK348">
        <v>1</v>
      </c>
      <c r="AL348">
        <v>1</v>
      </c>
      <c r="AM348">
        <v>-2</v>
      </c>
      <c r="AN348">
        <v>0</v>
      </c>
      <c r="AO348">
        <v>1</v>
      </c>
      <c r="AP348">
        <v>1</v>
      </c>
      <c r="AQ348">
        <v>0</v>
      </c>
      <c r="AR348">
        <v>0</v>
      </c>
      <c r="AS348" t="s">
        <v>3</v>
      </c>
      <c r="AT348">
        <v>15.72</v>
      </c>
      <c r="AU348" t="s">
        <v>3</v>
      </c>
      <c r="AV348">
        <v>1</v>
      </c>
      <c r="AW348">
        <v>2</v>
      </c>
      <c r="AX348">
        <v>94802316</v>
      </c>
      <c r="AY348">
        <v>1</v>
      </c>
      <c r="AZ348">
        <v>0</v>
      </c>
      <c r="BA348">
        <v>348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U348">
        <f>ROUND(AT348*Source!I427*AH348*AL348,2)</f>
        <v>5.3</v>
      </c>
      <c r="CV348">
        <f>ROUND(Y348*Source!I427,9)</f>
        <v>0.70740000000000003</v>
      </c>
      <c r="CW348">
        <v>0</v>
      </c>
      <c r="CX348">
        <f>ROUND(Y348*Source!I427,9)</f>
        <v>0.70740000000000003</v>
      </c>
      <c r="CY348">
        <f>AD348</f>
        <v>7.49</v>
      </c>
      <c r="CZ348">
        <f>AH348</f>
        <v>7.49</v>
      </c>
      <c r="DA348">
        <f>AL348</f>
        <v>1</v>
      </c>
      <c r="DB348">
        <f t="shared" si="153"/>
        <v>117.74</v>
      </c>
      <c r="DC348">
        <f t="shared" si="154"/>
        <v>0</v>
      </c>
      <c r="DD348" t="s">
        <v>3</v>
      </c>
      <c r="DE348" t="s">
        <v>3</v>
      </c>
      <c r="DF348">
        <f t="shared" ref="DF348:DF354" si="155">ROUND(ROUND(AE348,2)*CX348,2)</f>
        <v>0</v>
      </c>
      <c r="DG348">
        <f>ROUND(ROUND(AF348,2)*CX348,2)</f>
        <v>0</v>
      </c>
      <c r="DH348">
        <f>ROUND(ROUND(AG348,2)*CX348,2)</f>
        <v>0</v>
      </c>
      <c r="DI348">
        <f t="shared" si="144"/>
        <v>5.3</v>
      </c>
      <c r="DJ348">
        <f>DI348</f>
        <v>5.3</v>
      </c>
      <c r="DK348">
        <v>0</v>
      </c>
      <c r="DL348" t="s">
        <v>3</v>
      </c>
      <c r="DM348">
        <v>0</v>
      </c>
      <c r="DN348" t="s">
        <v>3</v>
      </c>
      <c r="DO348">
        <v>0</v>
      </c>
    </row>
    <row r="349" spans="1:119" x14ac:dyDescent="0.2">
      <c r="A349">
        <f>ROW(Source!A427)</f>
        <v>427</v>
      </c>
      <c r="B349">
        <v>94798619</v>
      </c>
      <c r="C349">
        <v>94802315</v>
      </c>
      <c r="D349">
        <v>121548</v>
      </c>
      <c r="E349">
        <v>1</v>
      </c>
      <c r="F349">
        <v>1</v>
      </c>
      <c r="G349">
        <v>1</v>
      </c>
      <c r="H349">
        <v>1</v>
      </c>
      <c r="I349" t="s">
        <v>28</v>
      </c>
      <c r="J349" t="s">
        <v>3</v>
      </c>
      <c r="K349" t="s">
        <v>705</v>
      </c>
      <c r="L349">
        <v>608254</v>
      </c>
      <c r="N349">
        <v>1013</v>
      </c>
      <c r="O349" t="s">
        <v>706</v>
      </c>
      <c r="P349" t="s">
        <v>706</v>
      </c>
      <c r="Q349">
        <v>1</v>
      </c>
      <c r="W349">
        <v>0</v>
      </c>
      <c r="X349">
        <v>-185737400</v>
      </c>
      <c r="Y349">
        <f t="shared" si="152"/>
        <v>13.88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M349">
        <v>-2</v>
      </c>
      <c r="AN349">
        <v>0</v>
      </c>
      <c r="AO349">
        <v>1</v>
      </c>
      <c r="AP349">
        <v>1</v>
      </c>
      <c r="AQ349">
        <v>0</v>
      </c>
      <c r="AR349">
        <v>0</v>
      </c>
      <c r="AS349" t="s">
        <v>3</v>
      </c>
      <c r="AT349">
        <v>13.88</v>
      </c>
      <c r="AU349" t="s">
        <v>3</v>
      </c>
      <c r="AV349">
        <v>2</v>
      </c>
      <c r="AW349">
        <v>2</v>
      </c>
      <c r="AX349">
        <v>94802317</v>
      </c>
      <c r="AY349">
        <v>1</v>
      </c>
      <c r="AZ349">
        <v>0</v>
      </c>
      <c r="BA349">
        <v>349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V349">
        <v>0</v>
      </c>
      <c r="CW349">
        <v>0</v>
      </c>
      <c r="CX349">
        <f>ROUND(Y349*Source!I427,9)</f>
        <v>0.62460000000000004</v>
      </c>
      <c r="CY349">
        <f>AD349</f>
        <v>0</v>
      </c>
      <c r="CZ349">
        <f>AH349</f>
        <v>0</v>
      </c>
      <c r="DA349">
        <f>AL349</f>
        <v>1</v>
      </c>
      <c r="DB349">
        <f t="shared" si="153"/>
        <v>0</v>
      </c>
      <c r="DC349">
        <f t="shared" si="154"/>
        <v>0</v>
      </c>
      <c r="DD349" t="s">
        <v>3</v>
      </c>
      <c r="DE349" t="s">
        <v>3</v>
      </c>
      <c r="DF349">
        <f t="shared" si="155"/>
        <v>0</v>
      </c>
      <c r="DG349">
        <f>ROUND(ROUND(AF349,2)*CX349,2)</f>
        <v>0</v>
      </c>
      <c r="DH349">
        <f>ROUND(ROUND(AG349,2)*CX349,2)</f>
        <v>0</v>
      </c>
      <c r="DI349">
        <f t="shared" si="144"/>
        <v>0</v>
      </c>
      <c r="DJ349">
        <f>DI349</f>
        <v>0</v>
      </c>
      <c r="DK349">
        <v>0</v>
      </c>
      <c r="DL349" t="s">
        <v>3</v>
      </c>
      <c r="DM349">
        <v>0</v>
      </c>
      <c r="DN349" t="s">
        <v>3</v>
      </c>
      <c r="DO349">
        <v>0</v>
      </c>
    </row>
    <row r="350" spans="1:119" x14ac:dyDescent="0.2">
      <c r="A350">
        <f>ROW(Source!A427)</f>
        <v>427</v>
      </c>
      <c r="B350">
        <v>94798619</v>
      </c>
      <c r="C350">
        <v>94802315</v>
      </c>
      <c r="D350">
        <v>37802515</v>
      </c>
      <c r="E350">
        <v>1</v>
      </c>
      <c r="F350">
        <v>1</v>
      </c>
      <c r="G350">
        <v>1</v>
      </c>
      <c r="H350">
        <v>2</v>
      </c>
      <c r="I350" t="s">
        <v>774</v>
      </c>
      <c r="J350" t="s">
        <v>775</v>
      </c>
      <c r="K350" t="s">
        <v>776</v>
      </c>
      <c r="L350">
        <v>1368</v>
      </c>
      <c r="N350">
        <v>1011</v>
      </c>
      <c r="O350" t="s">
        <v>700</v>
      </c>
      <c r="P350" t="s">
        <v>700</v>
      </c>
      <c r="Q350">
        <v>1</v>
      </c>
      <c r="W350">
        <v>0</v>
      </c>
      <c r="X350">
        <v>-674318163</v>
      </c>
      <c r="Y350">
        <f t="shared" si="152"/>
        <v>4.29</v>
      </c>
      <c r="AA350">
        <v>0</v>
      </c>
      <c r="AB350">
        <v>2230.73</v>
      </c>
      <c r="AC350">
        <v>317.43</v>
      </c>
      <c r="AD350">
        <v>0</v>
      </c>
      <c r="AE350">
        <v>0</v>
      </c>
      <c r="AF350">
        <v>87.24</v>
      </c>
      <c r="AG350">
        <v>9</v>
      </c>
      <c r="AH350">
        <v>0</v>
      </c>
      <c r="AI350">
        <v>1</v>
      </c>
      <c r="AJ350">
        <v>25.57</v>
      </c>
      <c r="AK350">
        <v>35.270000000000003</v>
      </c>
      <c r="AL350">
        <v>1</v>
      </c>
      <c r="AM350">
        <v>2</v>
      </c>
      <c r="AN350">
        <v>0</v>
      </c>
      <c r="AO350">
        <v>1</v>
      </c>
      <c r="AP350">
        <v>1</v>
      </c>
      <c r="AQ350">
        <v>0</v>
      </c>
      <c r="AR350">
        <v>0</v>
      </c>
      <c r="AS350" t="s">
        <v>3</v>
      </c>
      <c r="AT350">
        <v>4.29</v>
      </c>
      <c r="AU350" t="s">
        <v>3</v>
      </c>
      <c r="AV350">
        <v>0</v>
      </c>
      <c r="AW350">
        <v>2</v>
      </c>
      <c r="AX350">
        <v>94802318</v>
      </c>
      <c r="AY350">
        <v>1</v>
      </c>
      <c r="AZ350">
        <v>0</v>
      </c>
      <c r="BA350">
        <v>350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V350">
        <v>0</v>
      </c>
      <c r="CW350">
        <f>ROUND(Y350*Source!I427*DO350,9)</f>
        <v>0</v>
      </c>
      <c r="CX350">
        <f>ROUND(Y350*Source!I427,9)</f>
        <v>0.19305</v>
      </c>
      <c r="CY350">
        <f>AB350</f>
        <v>2230.73</v>
      </c>
      <c r="CZ350">
        <f>AF350</f>
        <v>87.24</v>
      </c>
      <c r="DA350">
        <f>AJ350</f>
        <v>25.57</v>
      </c>
      <c r="DB350">
        <f t="shared" si="153"/>
        <v>374.26</v>
      </c>
      <c r="DC350">
        <f t="shared" si="154"/>
        <v>38.61</v>
      </c>
      <c r="DD350" t="s">
        <v>3</v>
      </c>
      <c r="DE350" t="s">
        <v>3</v>
      </c>
      <c r="DF350">
        <f t="shared" si="155"/>
        <v>0</v>
      </c>
      <c r="DG350">
        <f>ROUND(ROUND(AF350*AJ350,2)*CX350,2)</f>
        <v>430.64</v>
      </c>
      <c r="DH350">
        <f>ROUND(ROUND(AG350*AK350,2)*CX350,2)</f>
        <v>61.28</v>
      </c>
      <c r="DI350">
        <f t="shared" si="144"/>
        <v>0</v>
      </c>
      <c r="DJ350">
        <f>DG350</f>
        <v>430.64</v>
      </c>
      <c r="DK350">
        <v>0</v>
      </c>
      <c r="DL350" t="s">
        <v>3</v>
      </c>
      <c r="DM350">
        <v>0</v>
      </c>
      <c r="DN350" t="s">
        <v>3</v>
      </c>
      <c r="DO350">
        <v>0</v>
      </c>
    </row>
    <row r="351" spans="1:119" x14ac:dyDescent="0.2">
      <c r="A351">
        <f>ROW(Source!A427)</f>
        <v>427</v>
      </c>
      <c r="B351">
        <v>94798619</v>
      </c>
      <c r="C351">
        <v>94802315</v>
      </c>
      <c r="D351">
        <v>37803022</v>
      </c>
      <c r="E351">
        <v>1</v>
      </c>
      <c r="F351">
        <v>1</v>
      </c>
      <c r="G351">
        <v>1</v>
      </c>
      <c r="H351">
        <v>2</v>
      </c>
      <c r="I351" t="s">
        <v>874</v>
      </c>
      <c r="J351" t="s">
        <v>875</v>
      </c>
      <c r="K351" t="s">
        <v>876</v>
      </c>
      <c r="L351">
        <v>1368</v>
      </c>
      <c r="N351">
        <v>1011</v>
      </c>
      <c r="O351" t="s">
        <v>700</v>
      </c>
      <c r="P351" t="s">
        <v>700</v>
      </c>
      <c r="Q351">
        <v>1</v>
      </c>
      <c r="W351">
        <v>0</v>
      </c>
      <c r="X351">
        <v>-769434373</v>
      </c>
      <c r="Y351">
        <f t="shared" si="152"/>
        <v>1.77</v>
      </c>
      <c r="AA351">
        <v>0</v>
      </c>
      <c r="AB351">
        <v>2357.37</v>
      </c>
      <c r="AC351">
        <v>426.77</v>
      </c>
      <c r="AD351">
        <v>0</v>
      </c>
      <c r="AE351">
        <v>0</v>
      </c>
      <c r="AF351">
        <v>155.09</v>
      </c>
      <c r="AG351">
        <v>12.1</v>
      </c>
      <c r="AH351">
        <v>0</v>
      </c>
      <c r="AI351">
        <v>1</v>
      </c>
      <c r="AJ351">
        <v>15.2</v>
      </c>
      <c r="AK351">
        <v>35.270000000000003</v>
      </c>
      <c r="AL351">
        <v>1</v>
      </c>
      <c r="AM351">
        <v>2</v>
      </c>
      <c r="AN351">
        <v>0</v>
      </c>
      <c r="AO351">
        <v>1</v>
      </c>
      <c r="AP351">
        <v>1</v>
      </c>
      <c r="AQ351">
        <v>0</v>
      </c>
      <c r="AR351">
        <v>0</v>
      </c>
      <c r="AS351" t="s">
        <v>3</v>
      </c>
      <c r="AT351">
        <v>1.77</v>
      </c>
      <c r="AU351" t="s">
        <v>3</v>
      </c>
      <c r="AV351">
        <v>0</v>
      </c>
      <c r="AW351">
        <v>2</v>
      </c>
      <c r="AX351">
        <v>94802319</v>
      </c>
      <c r="AY351">
        <v>1</v>
      </c>
      <c r="AZ351">
        <v>0</v>
      </c>
      <c r="BA351">
        <v>351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V351">
        <v>0</v>
      </c>
      <c r="CW351">
        <f>ROUND(Y351*Source!I427*DO351,9)</f>
        <v>0</v>
      </c>
      <c r="CX351">
        <f>ROUND(Y351*Source!I427,9)</f>
        <v>7.9649999999999999E-2</v>
      </c>
      <c r="CY351">
        <f>AB351</f>
        <v>2357.37</v>
      </c>
      <c r="CZ351">
        <f>AF351</f>
        <v>155.09</v>
      </c>
      <c r="DA351">
        <f>AJ351</f>
        <v>15.2</v>
      </c>
      <c r="DB351">
        <f t="shared" si="153"/>
        <v>274.51</v>
      </c>
      <c r="DC351">
        <f t="shared" si="154"/>
        <v>21.42</v>
      </c>
      <c r="DD351" t="s">
        <v>3</v>
      </c>
      <c r="DE351" t="s">
        <v>3</v>
      </c>
      <c r="DF351">
        <f t="shared" si="155"/>
        <v>0</v>
      </c>
      <c r="DG351">
        <f>ROUND(ROUND(AF351*AJ351,2)*CX351,2)</f>
        <v>187.76</v>
      </c>
      <c r="DH351">
        <f>ROUND(ROUND(AG351*AK351,2)*CX351,2)</f>
        <v>33.99</v>
      </c>
      <c r="DI351">
        <f t="shared" si="144"/>
        <v>0</v>
      </c>
      <c r="DJ351">
        <f>DG351</f>
        <v>187.76</v>
      </c>
      <c r="DK351">
        <v>0</v>
      </c>
      <c r="DL351" t="s">
        <v>3</v>
      </c>
      <c r="DM351">
        <v>0</v>
      </c>
      <c r="DN351" t="s">
        <v>3</v>
      </c>
      <c r="DO351">
        <v>0</v>
      </c>
    </row>
    <row r="352" spans="1:119" x14ac:dyDescent="0.2">
      <c r="A352">
        <f>ROW(Source!A427)</f>
        <v>427</v>
      </c>
      <c r="B352">
        <v>94798619</v>
      </c>
      <c r="C352">
        <v>94802315</v>
      </c>
      <c r="D352">
        <v>37803059</v>
      </c>
      <c r="E352">
        <v>1</v>
      </c>
      <c r="F352">
        <v>1</v>
      </c>
      <c r="G352">
        <v>1</v>
      </c>
      <c r="H352">
        <v>2</v>
      </c>
      <c r="I352" t="s">
        <v>877</v>
      </c>
      <c r="J352" t="s">
        <v>878</v>
      </c>
      <c r="K352" t="s">
        <v>879</v>
      </c>
      <c r="L352">
        <v>1368</v>
      </c>
      <c r="N352">
        <v>1011</v>
      </c>
      <c r="O352" t="s">
        <v>700</v>
      </c>
      <c r="P352" t="s">
        <v>700</v>
      </c>
      <c r="Q352">
        <v>1</v>
      </c>
      <c r="W352">
        <v>0</v>
      </c>
      <c r="X352">
        <v>-1765436741</v>
      </c>
      <c r="Y352">
        <f t="shared" si="152"/>
        <v>7.08</v>
      </c>
      <c r="AA352">
        <v>0</v>
      </c>
      <c r="AB352">
        <v>3076.98</v>
      </c>
      <c r="AC352">
        <v>454.98</v>
      </c>
      <c r="AD352">
        <v>0</v>
      </c>
      <c r="AE352">
        <v>0</v>
      </c>
      <c r="AF352">
        <v>210.32</v>
      </c>
      <c r="AG352">
        <v>12.9</v>
      </c>
      <c r="AH352">
        <v>0</v>
      </c>
      <c r="AI352">
        <v>1</v>
      </c>
      <c r="AJ352">
        <v>14.63</v>
      </c>
      <c r="AK352">
        <v>35.270000000000003</v>
      </c>
      <c r="AL352">
        <v>1</v>
      </c>
      <c r="AM352">
        <v>2</v>
      </c>
      <c r="AN352">
        <v>0</v>
      </c>
      <c r="AO352">
        <v>1</v>
      </c>
      <c r="AP352">
        <v>1</v>
      </c>
      <c r="AQ352">
        <v>0</v>
      </c>
      <c r="AR352">
        <v>0</v>
      </c>
      <c r="AS352" t="s">
        <v>3</v>
      </c>
      <c r="AT352">
        <v>7.08</v>
      </c>
      <c r="AU352" t="s">
        <v>3</v>
      </c>
      <c r="AV352">
        <v>0</v>
      </c>
      <c r="AW352">
        <v>2</v>
      </c>
      <c r="AX352">
        <v>94802320</v>
      </c>
      <c r="AY352">
        <v>1</v>
      </c>
      <c r="AZ352">
        <v>0</v>
      </c>
      <c r="BA352">
        <v>352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V352">
        <v>0</v>
      </c>
      <c r="CW352">
        <f>ROUND(Y352*Source!I427*DO352,9)</f>
        <v>0</v>
      </c>
      <c r="CX352">
        <f>ROUND(Y352*Source!I427,9)</f>
        <v>0.31859999999999999</v>
      </c>
      <c r="CY352">
        <f>AB352</f>
        <v>3076.98</v>
      </c>
      <c r="CZ352">
        <f>AF352</f>
        <v>210.32</v>
      </c>
      <c r="DA352">
        <f>AJ352</f>
        <v>14.63</v>
      </c>
      <c r="DB352">
        <f t="shared" si="153"/>
        <v>1489.07</v>
      </c>
      <c r="DC352">
        <f t="shared" si="154"/>
        <v>91.33</v>
      </c>
      <c r="DD352" t="s">
        <v>3</v>
      </c>
      <c r="DE352" t="s">
        <v>3</v>
      </c>
      <c r="DF352">
        <f t="shared" si="155"/>
        <v>0</v>
      </c>
      <c r="DG352">
        <f>ROUND(ROUND(AF352*AJ352,2)*CX352,2)</f>
        <v>980.33</v>
      </c>
      <c r="DH352">
        <f>ROUND(ROUND(AG352*AK352,2)*CX352,2)</f>
        <v>144.96</v>
      </c>
      <c r="DI352">
        <f t="shared" si="144"/>
        <v>0</v>
      </c>
      <c r="DJ352">
        <f>DG352</f>
        <v>980.33</v>
      </c>
      <c r="DK352">
        <v>0</v>
      </c>
      <c r="DL352" t="s">
        <v>3</v>
      </c>
      <c r="DM352">
        <v>0</v>
      </c>
      <c r="DN352" t="s">
        <v>3</v>
      </c>
      <c r="DO352">
        <v>0</v>
      </c>
    </row>
    <row r="353" spans="1:119" x14ac:dyDescent="0.2">
      <c r="A353">
        <f>ROW(Source!A427)</f>
        <v>427</v>
      </c>
      <c r="B353">
        <v>94798619</v>
      </c>
      <c r="C353">
        <v>94802315</v>
      </c>
      <c r="D353">
        <v>37803111</v>
      </c>
      <c r="E353">
        <v>1</v>
      </c>
      <c r="F353">
        <v>1</v>
      </c>
      <c r="G353">
        <v>1</v>
      </c>
      <c r="H353">
        <v>2</v>
      </c>
      <c r="I353" t="s">
        <v>880</v>
      </c>
      <c r="J353" t="s">
        <v>881</v>
      </c>
      <c r="K353" t="s">
        <v>882</v>
      </c>
      <c r="L353">
        <v>1368</v>
      </c>
      <c r="N353">
        <v>1011</v>
      </c>
      <c r="O353" t="s">
        <v>700</v>
      </c>
      <c r="P353" t="s">
        <v>700</v>
      </c>
      <c r="Q353">
        <v>1</v>
      </c>
      <c r="W353">
        <v>0</v>
      </c>
      <c r="X353">
        <v>1797372022</v>
      </c>
      <c r="Y353">
        <f t="shared" si="152"/>
        <v>0.74</v>
      </c>
      <c r="AA353">
        <v>0</v>
      </c>
      <c r="AB353">
        <v>1562.18</v>
      </c>
      <c r="AC353">
        <v>365.04</v>
      </c>
      <c r="AD353">
        <v>0</v>
      </c>
      <c r="AE353">
        <v>0</v>
      </c>
      <c r="AF353">
        <v>119.25</v>
      </c>
      <c r="AG353">
        <v>10.35</v>
      </c>
      <c r="AH353">
        <v>0</v>
      </c>
      <c r="AI353">
        <v>1</v>
      </c>
      <c r="AJ353">
        <v>13.1</v>
      </c>
      <c r="AK353">
        <v>35.270000000000003</v>
      </c>
      <c r="AL353">
        <v>1</v>
      </c>
      <c r="AM353">
        <v>2</v>
      </c>
      <c r="AN353">
        <v>0</v>
      </c>
      <c r="AO353">
        <v>1</v>
      </c>
      <c r="AP353">
        <v>1</v>
      </c>
      <c r="AQ353">
        <v>0</v>
      </c>
      <c r="AR353">
        <v>0</v>
      </c>
      <c r="AS353" t="s">
        <v>3</v>
      </c>
      <c r="AT353">
        <v>0.74</v>
      </c>
      <c r="AU353" t="s">
        <v>3</v>
      </c>
      <c r="AV353">
        <v>0</v>
      </c>
      <c r="AW353">
        <v>2</v>
      </c>
      <c r="AX353">
        <v>94802321</v>
      </c>
      <c r="AY353">
        <v>1</v>
      </c>
      <c r="AZ353">
        <v>0</v>
      </c>
      <c r="BA353">
        <v>353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V353">
        <v>0</v>
      </c>
      <c r="CW353">
        <f>ROUND(Y353*Source!I427*DO353,9)</f>
        <v>0</v>
      </c>
      <c r="CX353">
        <f>ROUND(Y353*Source!I427,9)</f>
        <v>3.3300000000000003E-2</v>
      </c>
      <c r="CY353">
        <f>AB353</f>
        <v>1562.18</v>
      </c>
      <c r="CZ353">
        <f>AF353</f>
        <v>119.25</v>
      </c>
      <c r="DA353">
        <f>AJ353</f>
        <v>13.1</v>
      </c>
      <c r="DB353">
        <f t="shared" si="153"/>
        <v>88.25</v>
      </c>
      <c r="DC353">
        <f t="shared" si="154"/>
        <v>7.66</v>
      </c>
      <c r="DD353" t="s">
        <v>3</v>
      </c>
      <c r="DE353" t="s">
        <v>3</v>
      </c>
      <c r="DF353">
        <f t="shared" si="155"/>
        <v>0</v>
      </c>
      <c r="DG353">
        <f>ROUND(ROUND(AF353*AJ353,2)*CX353,2)</f>
        <v>52.02</v>
      </c>
      <c r="DH353">
        <f>ROUND(ROUND(AG353*AK353,2)*CX353,2)</f>
        <v>12.16</v>
      </c>
      <c r="DI353">
        <f t="shared" si="144"/>
        <v>0</v>
      </c>
      <c r="DJ353">
        <f>DG353</f>
        <v>52.02</v>
      </c>
      <c r="DK353">
        <v>0</v>
      </c>
      <c r="DL353" t="s">
        <v>3</v>
      </c>
      <c r="DM353">
        <v>0</v>
      </c>
      <c r="DN353" t="s">
        <v>3</v>
      </c>
      <c r="DO353">
        <v>0</v>
      </c>
    </row>
    <row r="354" spans="1:119" x14ac:dyDescent="0.2">
      <c r="A354">
        <f>ROW(Source!A427)</f>
        <v>427</v>
      </c>
      <c r="B354">
        <v>94798619</v>
      </c>
      <c r="C354">
        <v>94802315</v>
      </c>
      <c r="D354">
        <v>37777368</v>
      </c>
      <c r="E354">
        <v>1</v>
      </c>
      <c r="F354">
        <v>1</v>
      </c>
      <c r="G354">
        <v>1</v>
      </c>
      <c r="H354">
        <v>3</v>
      </c>
      <c r="I354" t="s">
        <v>513</v>
      </c>
      <c r="J354" t="s">
        <v>515</v>
      </c>
      <c r="K354" t="s">
        <v>514</v>
      </c>
      <c r="L354">
        <v>1339</v>
      </c>
      <c r="N354">
        <v>1007</v>
      </c>
      <c r="O354" t="s">
        <v>52</v>
      </c>
      <c r="P354" t="s">
        <v>52</v>
      </c>
      <c r="Q354">
        <v>1</v>
      </c>
      <c r="W354">
        <v>0</v>
      </c>
      <c r="X354">
        <v>1366811022</v>
      </c>
      <c r="Y354">
        <f t="shared" si="152"/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M354">
        <v>0</v>
      </c>
      <c r="AN354">
        <v>1</v>
      </c>
      <c r="AO354">
        <v>0</v>
      </c>
      <c r="AP354">
        <v>1</v>
      </c>
      <c r="AQ354">
        <v>0</v>
      </c>
      <c r="AR354">
        <v>0</v>
      </c>
      <c r="AS354" t="s">
        <v>3</v>
      </c>
      <c r="AT354">
        <v>0</v>
      </c>
      <c r="AU354" t="s">
        <v>3</v>
      </c>
      <c r="AV354">
        <v>0</v>
      </c>
      <c r="AW354">
        <v>2</v>
      </c>
      <c r="AX354">
        <v>94802322</v>
      </c>
      <c r="AY354">
        <v>1</v>
      </c>
      <c r="AZ354">
        <v>0</v>
      </c>
      <c r="BA354">
        <v>354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V354">
        <v>0</v>
      </c>
      <c r="CW354">
        <v>0</v>
      </c>
      <c r="CX354">
        <f>ROUND(Y354*Source!I427,9)</f>
        <v>0</v>
      </c>
      <c r="CY354">
        <f>AA354</f>
        <v>0</v>
      </c>
      <c r="CZ354">
        <f>AE354</f>
        <v>0</v>
      </c>
      <c r="DA354">
        <f>AI354</f>
        <v>1</v>
      </c>
      <c r="DB354">
        <f t="shared" si="153"/>
        <v>0</v>
      </c>
      <c r="DC354">
        <f t="shared" si="154"/>
        <v>0</v>
      </c>
      <c r="DD354" t="s">
        <v>3</v>
      </c>
      <c r="DE354" t="s">
        <v>3</v>
      </c>
      <c r="DF354">
        <f t="shared" si="155"/>
        <v>0</v>
      </c>
      <c r="DG354">
        <f>ROUND(ROUND(AF354,2)*CX354,2)</f>
        <v>0</v>
      </c>
      <c r="DH354">
        <f>ROUND(ROUND(AG354,2)*CX354,2)</f>
        <v>0</v>
      </c>
      <c r="DI354">
        <f t="shared" si="144"/>
        <v>0</v>
      </c>
      <c r="DJ354">
        <f>DF354</f>
        <v>0</v>
      </c>
      <c r="DK354">
        <v>0</v>
      </c>
      <c r="DL354" t="s">
        <v>3</v>
      </c>
      <c r="DM354">
        <v>0</v>
      </c>
      <c r="DN354" t="s">
        <v>3</v>
      </c>
      <c r="DO354">
        <v>0</v>
      </c>
    </row>
    <row r="355" spans="1:119" x14ac:dyDescent="0.2">
      <c r="A355">
        <f>ROW(Source!A427)</f>
        <v>427</v>
      </c>
      <c r="B355">
        <v>94798619</v>
      </c>
      <c r="C355">
        <v>94802315</v>
      </c>
      <c r="D355">
        <v>37777802</v>
      </c>
      <c r="E355">
        <v>1</v>
      </c>
      <c r="F355">
        <v>1</v>
      </c>
      <c r="G355">
        <v>1</v>
      </c>
      <c r="H355">
        <v>3</v>
      </c>
      <c r="I355" t="s">
        <v>883</v>
      </c>
      <c r="J355" t="s">
        <v>884</v>
      </c>
      <c r="K355" t="s">
        <v>885</v>
      </c>
      <c r="L355">
        <v>1339</v>
      </c>
      <c r="N355">
        <v>1007</v>
      </c>
      <c r="O355" t="s">
        <v>52</v>
      </c>
      <c r="P355" t="s">
        <v>52</v>
      </c>
      <c r="Q355">
        <v>1</v>
      </c>
      <c r="W355">
        <v>0</v>
      </c>
      <c r="X355">
        <v>-1418712732</v>
      </c>
      <c r="Y355">
        <f t="shared" si="152"/>
        <v>5</v>
      </c>
      <c r="AA355">
        <v>19.59</v>
      </c>
      <c r="AB355">
        <v>0</v>
      </c>
      <c r="AC355">
        <v>0</v>
      </c>
      <c r="AD355">
        <v>0</v>
      </c>
      <c r="AE355">
        <v>2.4700000000000002</v>
      </c>
      <c r="AF355">
        <v>0</v>
      </c>
      <c r="AG355">
        <v>0</v>
      </c>
      <c r="AH355">
        <v>0</v>
      </c>
      <c r="AI355">
        <v>7.93</v>
      </c>
      <c r="AJ355">
        <v>1</v>
      </c>
      <c r="AK355">
        <v>1</v>
      </c>
      <c r="AL355">
        <v>1</v>
      </c>
      <c r="AM355">
        <v>2</v>
      </c>
      <c r="AN355">
        <v>0</v>
      </c>
      <c r="AO355">
        <v>1</v>
      </c>
      <c r="AP355">
        <v>1</v>
      </c>
      <c r="AQ355">
        <v>0</v>
      </c>
      <c r="AR355">
        <v>0</v>
      </c>
      <c r="AS355" t="s">
        <v>3</v>
      </c>
      <c r="AT355">
        <v>5</v>
      </c>
      <c r="AU355" t="s">
        <v>3</v>
      </c>
      <c r="AV355">
        <v>0</v>
      </c>
      <c r="AW355">
        <v>2</v>
      </c>
      <c r="AX355">
        <v>94802323</v>
      </c>
      <c r="AY355">
        <v>1</v>
      </c>
      <c r="AZ355">
        <v>0</v>
      </c>
      <c r="BA355">
        <v>355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V355">
        <v>0</v>
      </c>
      <c r="CW355">
        <v>0</v>
      </c>
      <c r="CX355">
        <f>ROUND(Y355*Source!I427,9)</f>
        <v>0.22500000000000001</v>
      </c>
      <c r="CY355">
        <f>AA355</f>
        <v>19.59</v>
      </c>
      <c r="CZ355">
        <f>AE355</f>
        <v>2.4700000000000002</v>
      </c>
      <c r="DA355">
        <f>AI355</f>
        <v>7.93</v>
      </c>
      <c r="DB355">
        <f t="shared" si="153"/>
        <v>12.35</v>
      </c>
      <c r="DC355">
        <f t="shared" si="154"/>
        <v>0</v>
      </c>
      <c r="DD355" t="s">
        <v>3</v>
      </c>
      <c r="DE355" t="s">
        <v>3</v>
      </c>
      <c r="DF355">
        <f>ROUND(ROUND(AE355*AI355,2)*CX355,2)</f>
        <v>4.41</v>
      </c>
      <c r="DG355">
        <f>ROUND(ROUND(AF355,2)*CX355,2)</f>
        <v>0</v>
      </c>
      <c r="DH355">
        <f>ROUND(ROUND(AG355,2)*CX355,2)</f>
        <v>0</v>
      </c>
      <c r="DI355">
        <f t="shared" si="144"/>
        <v>0</v>
      </c>
      <c r="DJ355">
        <f>DF355</f>
        <v>4.41</v>
      </c>
      <c r="DK355">
        <v>0</v>
      </c>
      <c r="DL355" t="s">
        <v>3</v>
      </c>
      <c r="DM355">
        <v>0</v>
      </c>
      <c r="DN355" t="s">
        <v>3</v>
      </c>
      <c r="DO355">
        <v>0</v>
      </c>
    </row>
    <row r="356" spans="1:119" x14ac:dyDescent="0.2">
      <c r="A356">
        <f>ROW(Source!A430)</f>
        <v>430</v>
      </c>
      <c r="B356">
        <v>94798619</v>
      </c>
      <c r="C356">
        <v>94802326</v>
      </c>
      <c r="D356">
        <v>23131263</v>
      </c>
      <c r="E356">
        <v>1</v>
      </c>
      <c r="F356">
        <v>1</v>
      </c>
      <c r="G356">
        <v>1</v>
      </c>
      <c r="H356">
        <v>1</v>
      </c>
      <c r="I356" t="s">
        <v>990</v>
      </c>
      <c r="J356" t="s">
        <v>3</v>
      </c>
      <c r="K356" t="s">
        <v>991</v>
      </c>
      <c r="L356">
        <v>1369</v>
      </c>
      <c r="N356">
        <v>1013</v>
      </c>
      <c r="O356" t="s">
        <v>696</v>
      </c>
      <c r="P356" t="s">
        <v>696</v>
      </c>
      <c r="Q356">
        <v>1</v>
      </c>
      <c r="W356">
        <v>0</v>
      </c>
      <c r="X356">
        <v>920778480</v>
      </c>
      <c r="Y356">
        <f t="shared" si="152"/>
        <v>36.96</v>
      </c>
      <c r="AA356">
        <v>0</v>
      </c>
      <c r="AB356">
        <v>0</v>
      </c>
      <c r="AC356">
        <v>0</v>
      </c>
      <c r="AD356">
        <v>7.63</v>
      </c>
      <c r="AE356">
        <v>0</v>
      </c>
      <c r="AF356">
        <v>0</v>
      </c>
      <c r="AG356">
        <v>0</v>
      </c>
      <c r="AH356">
        <v>7.63</v>
      </c>
      <c r="AI356">
        <v>1</v>
      </c>
      <c r="AJ356">
        <v>1</v>
      </c>
      <c r="AK356">
        <v>1</v>
      </c>
      <c r="AL356">
        <v>1</v>
      </c>
      <c r="AM356">
        <v>-2</v>
      </c>
      <c r="AN356">
        <v>0</v>
      </c>
      <c r="AO356">
        <v>1</v>
      </c>
      <c r="AP356">
        <v>1</v>
      </c>
      <c r="AQ356">
        <v>0</v>
      </c>
      <c r="AR356">
        <v>0</v>
      </c>
      <c r="AS356" t="s">
        <v>3</v>
      </c>
      <c r="AT356">
        <v>36.96</v>
      </c>
      <c r="AU356" t="s">
        <v>3</v>
      </c>
      <c r="AV356">
        <v>1</v>
      </c>
      <c r="AW356">
        <v>2</v>
      </c>
      <c r="AX356">
        <v>94802337</v>
      </c>
      <c r="AY356">
        <v>1</v>
      </c>
      <c r="AZ356">
        <v>0</v>
      </c>
      <c r="BA356">
        <v>356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U356">
        <f>ROUND(AT356*Source!I430*AH356*AL356,2)</f>
        <v>8.4600000000000009</v>
      </c>
      <c r="CV356">
        <f>ROUND(Y356*Source!I430,9)</f>
        <v>1.1088</v>
      </c>
      <c r="CW356">
        <v>0</v>
      </c>
      <c r="CX356">
        <f>ROUND(Y356*Source!I430,9)</f>
        <v>1.1088</v>
      </c>
      <c r="CY356">
        <f>AD356</f>
        <v>7.63</v>
      </c>
      <c r="CZ356">
        <f>AH356</f>
        <v>7.63</v>
      </c>
      <c r="DA356">
        <f>AL356</f>
        <v>1</v>
      </c>
      <c r="DB356">
        <f t="shared" si="153"/>
        <v>282</v>
      </c>
      <c r="DC356">
        <f t="shared" si="154"/>
        <v>0</v>
      </c>
      <c r="DD356" t="s">
        <v>3</v>
      </c>
      <c r="DE356" t="s">
        <v>3</v>
      </c>
      <c r="DF356">
        <f t="shared" ref="DF356:DF364" si="156">ROUND(ROUND(AE356,2)*CX356,2)</f>
        <v>0</v>
      </c>
      <c r="DG356">
        <f>ROUND(ROUND(AF356,2)*CX356,2)</f>
        <v>0</v>
      </c>
      <c r="DH356">
        <f>ROUND(ROUND(AG356,2)*CX356,2)</f>
        <v>0</v>
      </c>
      <c r="DI356">
        <f t="shared" si="144"/>
        <v>8.4600000000000009</v>
      </c>
      <c r="DJ356">
        <f>DI356</f>
        <v>8.4600000000000009</v>
      </c>
      <c r="DK356">
        <v>0</v>
      </c>
      <c r="DL356" t="s">
        <v>3</v>
      </c>
      <c r="DM356">
        <v>0</v>
      </c>
      <c r="DN356" t="s">
        <v>3</v>
      </c>
      <c r="DO356">
        <v>0</v>
      </c>
    </row>
    <row r="357" spans="1:119" x14ac:dyDescent="0.2">
      <c r="A357">
        <f>ROW(Source!A430)</f>
        <v>430</v>
      </c>
      <c r="B357">
        <v>94798619</v>
      </c>
      <c r="C357">
        <v>94802326</v>
      </c>
      <c r="D357">
        <v>121548</v>
      </c>
      <c r="E357">
        <v>1</v>
      </c>
      <c r="F357">
        <v>1</v>
      </c>
      <c r="G357">
        <v>1</v>
      </c>
      <c r="H357">
        <v>1</v>
      </c>
      <c r="I357" t="s">
        <v>28</v>
      </c>
      <c r="J357" t="s">
        <v>3</v>
      </c>
      <c r="K357" t="s">
        <v>705</v>
      </c>
      <c r="L357">
        <v>608254</v>
      </c>
      <c r="N357">
        <v>1013</v>
      </c>
      <c r="O357" t="s">
        <v>706</v>
      </c>
      <c r="P357" t="s">
        <v>706</v>
      </c>
      <c r="Q357">
        <v>1</v>
      </c>
      <c r="W357">
        <v>0</v>
      </c>
      <c r="X357">
        <v>-185737400</v>
      </c>
      <c r="Y357">
        <f t="shared" si="152"/>
        <v>41.95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1</v>
      </c>
      <c r="AJ357">
        <v>1</v>
      </c>
      <c r="AK357">
        <v>1</v>
      </c>
      <c r="AL357">
        <v>1</v>
      </c>
      <c r="AM357">
        <v>-2</v>
      </c>
      <c r="AN357">
        <v>0</v>
      </c>
      <c r="AO357">
        <v>1</v>
      </c>
      <c r="AP357">
        <v>1</v>
      </c>
      <c r="AQ357">
        <v>0</v>
      </c>
      <c r="AR357">
        <v>0</v>
      </c>
      <c r="AS357" t="s">
        <v>3</v>
      </c>
      <c r="AT357">
        <v>41.95</v>
      </c>
      <c r="AU357" t="s">
        <v>3</v>
      </c>
      <c r="AV357">
        <v>2</v>
      </c>
      <c r="AW357">
        <v>2</v>
      </c>
      <c r="AX357">
        <v>94802338</v>
      </c>
      <c r="AY357">
        <v>1</v>
      </c>
      <c r="AZ357">
        <v>0</v>
      </c>
      <c r="BA357">
        <v>357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V357">
        <v>0</v>
      </c>
      <c r="CW357">
        <v>0</v>
      </c>
      <c r="CX357">
        <f>ROUND(Y357*Source!I430,9)</f>
        <v>1.2585</v>
      </c>
      <c r="CY357">
        <f>AD357</f>
        <v>0</v>
      </c>
      <c r="CZ357">
        <f>AH357</f>
        <v>0</v>
      </c>
      <c r="DA357">
        <f>AL357</f>
        <v>1</v>
      </c>
      <c r="DB357">
        <f t="shared" si="153"/>
        <v>0</v>
      </c>
      <c r="DC357">
        <f t="shared" si="154"/>
        <v>0</v>
      </c>
      <c r="DD357" t="s">
        <v>3</v>
      </c>
      <c r="DE357" t="s">
        <v>3</v>
      </c>
      <c r="DF357">
        <f t="shared" si="156"/>
        <v>0</v>
      </c>
      <c r="DG357">
        <f>ROUND(ROUND(AF357,2)*CX357,2)</f>
        <v>0</v>
      </c>
      <c r="DH357">
        <f>ROUND(ROUND(AG357,2)*CX357,2)</f>
        <v>0</v>
      </c>
      <c r="DI357">
        <f t="shared" si="144"/>
        <v>0</v>
      </c>
      <c r="DJ357">
        <f>DI357</f>
        <v>0</v>
      </c>
      <c r="DK357">
        <v>0</v>
      </c>
      <c r="DL357" t="s">
        <v>3</v>
      </c>
      <c r="DM357">
        <v>0</v>
      </c>
      <c r="DN357" t="s">
        <v>3</v>
      </c>
      <c r="DO357">
        <v>0</v>
      </c>
    </row>
    <row r="358" spans="1:119" x14ac:dyDescent="0.2">
      <c r="A358">
        <f>ROW(Source!A430)</f>
        <v>430</v>
      </c>
      <c r="B358">
        <v>94798619</v>
      </c>
      <c r="C358">
        <v>94802326</v>
      </c>
      <c r="D358">
        <v>37802515</v>
      </c>
      <c r="E358">
        <v>1</v>
      </c>
      <c r="F358">
        <v>1</v>
      </c>
      <c r="G358">
        <v>1</v>
      </c>
      <c r="H358">
        <v>2</v>
      </c>
      <c r="I358" t="s">
        <v>774</v>
      </c>
      <c r="J358" t="s">
        <v>775</v>
      </c>
      <c r="K358" t="s">
        <v>776</v>
      </c>
      <c r="L358">
        <v>1368</v>
      </c>
      <c r="N358">
        <v>1011</v>
      </c>
      <c r="O358" t="s">
        <v>700</v>
      </c>
      <c r="P358" t="s">
        <v>700</v>
      </c>
      <c r="Q358">
        <v>1</v>
      </c>
      <c r="W358">
        <v>0</v>
      </c>
      <c r="X358">
        <v>-674318163</v>
      </c>
      <c r="Y358">
        <f t="shared" si="152"/>
        <v>3.98</v>
      </c>
      <c r="AA358">
        <v>0</v>
      </c>
      <c r="AB358">
        <v>2230.73</v>
      </c>
      <c r="AC358">
        <v>317.43</v>
      </c>
      <c r="AD358">
        <v>0</v>
      </c>
      <c r="AE358">
        <v>0</v>
      </c>
      <c r="AF358">
        <v>87.24</v>
      </c>
      <c r="AG358">
        <v>9</v>
      </c>
      <c r="AH358">
        <v>0</v>
      </c>
      <c r="AI358">
        <v>1</v>
      </c>
      <c r="AJ358">
        <v>25.57</v>
      </c>
      <c r="AK358">
        <v>35.270000000000003</v>
      </c>
      <c r="AL358">
        <v>1</v>
      </c>
      <c r="AM358">
        <v>2</v>
      </c>
      <c r="AN358">
        <v>0</v>
      </c>
      <c r="AO358">
        <v>1</v>
      </c>
      <c r="AP358">
        <v>1</v>
      </c>
      <c r="AQ358">
        <v>0</v>
      </c>
      <c r="AR358">
        <v>0</v>
      </c>
      <c r="AS358" t="s">
        <v>3</v>
      </c>
      <c r="AT358">
        <v>3.98</v>
      </c>
      <c r="AU358" t="s">
        <v>3</v>
      </c>
      <c r="AV358">
        <v>0</v>
      </c>
      <c r="AW358">
        <v>2</v>
      </c>
      <c r="AX358">
        <v>94802339</v>
      </c>
      <c r="AY358">
        <v>1</v>
      </c>
      <c r="AZ358">
        <v>0</v>
      </c>
      <c r="BA358">
        <v>358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V358">
        <v>0</v>
      </c>
      <c r="CW358">
        <f>ROUND(Y358*Source!I430*DO358,9)</f>
        <v>0</v>
      </c>
      <c r="CX358">
        <f>ROUND(Y358*Source!I430,9)</f>
        <v>0.11940000000000001</v>
      </c>
      <c r="CY358">
        <f t="shared" ref="CY358:CY364" si="157">AB358</f>
        <v>2230.73</v>
      </c>
      <c r="CZ358">
        <f t="shared" ref="CZ358:CZ364" si="158">AF358</f>
        <v>87.24</v>
      </c>
      <c r="DA358">
        <f t="shared" ref="DA358:DA364" si="159">AJ358</f>
        <v>25.57</v>
      </c>
      <c r="DB358">
        <f t="shared" si="153"/>
        <v>347.22</v>
      </c>
      <c r="DC358">
        <f t="shared" si="154"/>
        <v>35.82</v>
      </c>
      <c r="DD358" t="s">
        <v>3</v>
      </c>
      <c r="DE358" t="s">
        <v>3</v>
      </c>
      <c r="DF358">
        <f t="shared" si="156"/>
        <v>0</v>
      </c>
      <c r="DG358">
        <f t="shared" ref="DG358:DG364" si="160">ROUND(ROUND(AF358*AJ358,2)*CX358,2)</f>
        <v>266.35000000000002</v>
      </c>
      <c r="DH358">
        <f t="shared" ref="DH358:DH364" si="161">ROUND(ROUND(AG358*AK358,2)*CX358,2)</f>
        <v>37.9</v>
      </c>
      <c r="DI358">
        <f t="shared" si="144"/>
        <v>0</v>
      </c>
      <c r="DJ358">
        <f t="shared" ref="DJ358:DJ364" si="162">DG358</f>
        <v>266.35000000000002</v>
      </c>
      <c r="DK358">
        <v>0</v>
      </c>
      <c r="DL358" t="s">
        <v>3</v>
      </c>
      <c r="DM358">
        <v>0</v>
      </c>
      <c r="DN358" t="s">
        <v>3</v>
      </c>
      <c r="DO358">
        <v>0</v>
      </c>
    </row>
    <row r="359" spans="1:119" x14ac:dyDescent="0.2">
      <c r="A359">
        <f>ROW(Source!A430)</f>
        <v>430</v>
      </c>
      <c r="B359">
        <v>94798619</v>
      </c>
      <c r="C359">
        <v>94802326</v>
      </c>
      <c r="D359">
        <v>37802810</v>
      </c>
      <c r="E359">
        <v>1</v>
      </c>
      <c r="F359">
        <v>1</v>
      </c>
      <c r="G359">
        <v>1</v>
      </c>
      <c r="H359">
        <v>2</v>
      </c>
      <c r="I359" t="s">
        <v>992</v>
      </c>
      <c r="J359" t="s">
        <v>993</v>
      </c>
      <c r="K359" t="s">
        <v>994</v>
      </c>
      <c r="L359">
        <v>1368</v>
      </c>
      <c r="N359">
        <v>1011</v>
      </c>
      <c r="O359" t="s">
        <v>700</v>
      </c>
      <c r="P359" t="s">
        <v>700</v>
      </c>
      <c r="Q359">
        <v>1</v>
      </c>
      <c r="W359">
        <v>0</v>
      </c>
      <c r="X359">
        <v>1658901683</v>
      </c>
      <c r="Y359">
        <f t="shared" si="152"/>
        <v>2.59</v>
      </c>
      <c r="AA359">
        <v>0</v>
      </c>
      <c r="AB359">
        <v>1780.52</v>
      </c>
      <c r="AC359">
        <v>426.77</v>
      </c>
      <c r="AD359">
        <v>0</v>
      </c>
      <c r="AE359">
        <v>0</v>
      </c>
      <c r="AF359">
        <v>108.37</v>
      </c>
      <c r="AG359">
        <v>12.1</v>
      </c>
      <c r="AH359">
        <v>0</v>
      </c>
      <c r="AI359">
        <v>1</v>
      </c>
      <c r="AJ359">
        <v>16.43</v>
      </c>
      <c r="AK359">
        <v>35.270000000000003</v>
      </c>
      <c r="AL359">
        <v>1</v>
      </c>
      <c r="AM359">
        <v>2</v>
      </c>
      <c r="AN359">
        <v>0</v>
      </c>
      <c r="AO359">
        <v>1</v>
      </c>
      <c r="AP359">
        <v>1</v>
      </c>
      <c r="AQ359">
        <v>0</v>
      </c>
      <c r="AR359">
        <v>0</v>
      </c>
      <c r="AS359" t="s">
        <v>3</v>
      </c>
      <c r="AT359">
        <v>2.59</v>
      </c>
      <c r="AU359" t="s">
        <v>3</v>
      </c>
      <c r="AV359">
        <v>0</v>
      </c>
      <c r="AW359">
        <v>2</v>
      </c>
      <c r="AX359">
        <v>94802340</v>
      </c>
      <c r="AY359">
        <v>1</v>
      </c>
      <c r="AZ359">
        <v>0</v>
      </c>
      <c r="BA359">
        <v>359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V359">
        <v>0</v>
      </c>
      <c r="CW359">
        <f>ROUND(Y359*Source!I430*DO359,9)</f>
        <v>0</v>
      </c>
      <c r="CX359">
        <f>ROUND(Y359*Source!I430,9)</f>
        <v>7.7700000000000005E-2</v>
      </c>
      <c r="CY359">
        <f t="shared" si="157"/>
        <v>1780.52</v>
      </c>
      <c r="CZ359">
        <f t="shared" si="158"/>
        <v>108.37</v>
      </c>
      <c r="DA359">
        <f t="shared" si="159"/>
        <v>16.43</v>
      </c>
      <c r="DB359">
        <f t="shared" si="153"/>
        <v>280.68</v>
      </c>
      <c r="DC359">
        <f t="shared" si="154"/>
        <v>31.34</v>
      </c>
      <c r="DD359" t="s">
        <v>3</v>
      </c>
      <c r="DE359" t="s">
        <v>3</v>
      </c>
      <c r="DF359">
        <f t="shared" si="156"/>
        <v>0</v>
      </c>
      <c r="DG359">
        <f t="shared" si="160"/>
        <v>138.35</v>
      </c>
      <c r="DH359">
        <f t="shared" si="161"/>
        <v>33.159999999999997</v>
      </c>
      <c r="DI359">
        <f t="shared" si="144"/>
        <v>0</v>
      </c>
      <c r="DJ359">
        <f t="shared" si="162"/>
        <v>138.35</v>
      </c>
      <c r="DK359">
        <v>0</v>
      </c>
      <c r="DL359" t="s">
        <v>3</v>
      </c>
      <c r="DM359">
        <v>0</v>
      </c>
      <c r="DN359" t="s">
        <v>3</v>
      </c>
      <c r="DO359">
        <v>0</v>
      </c>
    </row>
    <row r="360" spans="1:119" x14ac:dyDescent="0.2">
      <c r="A360">
        <f>ROW(Source!A430)</f>
        <v>430</v>
      </c>
      <c r="B360">
        <v>94798619</v>
      </c>
      <c r="C360">
        <v>94802326</v>
      </c>
      <c r="D360">
        <v>37803022</v>
      </c>
      <c r="E360">
        <v>1</v>
      </c>
      <c r="F360">
        <v>1</v>
      </c>
      <c r="G360">
        <v>1</v>
      </c>
      <c r="H360">
        <v>2</v>
      </c>
      <c r="I360" t="s">
        <v>874</v>
      </c>
      <c r="J360" t="s">
        <v>875</v>
      </c>
      <c r="K360" t="s">
        <v>876</v>
      </c>
      <c r="L360">
        <v>1368</v>
      </c>
      <c r="N360">
        <v>1011</v>
      </c>
      <c r="O360" t="s">
        <v>700</v>
      </c>
      <c r="P360" t="s">
        <v>700</v>
      </c>
      <c r="Q360">
        <v>1</v>
      </c>
      <c r="W360">
        <v>0</v>
      </c>
      <c r="X360">
        <v>-769434373</v>
      </c>
      <c r="Y360">
        <f t="shared" si="152"/>
        <v>0.41</v>
      </c>
      <c r="AA360">
        <v>0</v>
      </c>
      <c r="AB360">
        <v>2357.37</v>
      </c>
      <c r="AC360">
        <v>426.77</v>
      </c>
      <c r="AD360">
        <v>0</v>
      </c>
      <c r="AE360">
        <v>0</v>
      </c>
      <c r="AF360">
        <v>155.09</v>
      </c>
      <c r="AG360">
        <v>12.1</v>
      </c>
      <c r="AH360">
        <v>0</v>
      </c>
      <c r="AI360">
        <v>1</v>
      </c>
      <c r="AJ360">
        <v>15.2</v>
      </c>
      <c r="AK360">
        <v>35.270000000000003</v>
      </c>
      <c r="AL360">
        <v>1</v>
      </c>
      <c r="AM360">
        <v>2</v>
      </c>
      <c r="AN360">
        <v>0</v>
      </c>
      <c r="AO360">
        <v>1</v>
      </c>
      <c r="AP360">
        <v>1</v>
      </c>
      <c r="AQ360">
        <v>0</v>
      </c>
      <c r="AR360">
        <v>0</v>
      </c>
      <c r="AS360" t="s">
        <v>3</v>
      </c>
      <c r="AT360">
        <v>0.41</v>
      </c>
      <c r="AU360" t="s">
        <v>3</v>
      </c>
      <c r="AV360">
        <v>0</v>
      </c>
      <c r="AW360">
        <v>2</v>
      </c>
      <c r="AX360">
        <v>94802341</v>
      </c>
      <c r="AY360">
        <v>1</v>
      </c>
      <c r="AZ360">
        <v>0</v>
      </c>
      <c r="BA360">
        <v>360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V360">
        <v>0</v>
      </c>
      <c r="CW360">
        <f>ROUND(Y360*Source!I430*DO360,9)</f>
        <v>0</v>
      </c>
      <c r="CX360">
        <f>ROUND(Y360*Source!I430,9)</f>
        <v>1.23E-2</v>
      </c>
      <c r="CY360">
        <f t="shared" si="157"/>
        <v>2357.37</v>
      </c>
      <c r="CZ360">
        <f t="shared" si="158"/>
        <v>155.09</v>
      </c>
      <c r="DA360">
        <f t="shared" si="159"/>
        <v>15.2</v>
      </c>
      <c r="DB360">
        <f t="shared" si="153"/>
        <v>63.59</v>
      </c>
      <c r="DC360">
        <f t="shared" si="154"/>
        <v>4.96</v>
      </c>
      <c r="DD360" t="s">
        <v>3</v>
      </c>
      <c r="DE360" t="s">
        <v>3</v>
      </c>
      <c r="DF360">
        <f t="shared" si="156"/>
        <v>0</v>
      </c>
      <c r="DG360">
        <f t="shared" si="160"/>
        <v>29</v>
      </c>
      <c r="DH360">
        <f t="shared" si="161"/>
        <v>5.25</v>
      </c>
      <c r="DI360">
        <f t="shared" si="144"/>
        <v>0</v>
      </c>
      <c r="DJ360">
        <f t="shared" si="162"/>
        <v>29</v>
      </c>
      <c r="DK360">
        <v>0</v>
      </c>
      <c r="DL360" t="s">
        <v>3</v>
      </c>
      <c r="DM360">
        <v>0</v>
      </c>
      <c r="DN360" t="s">
        <v>3</v>
      </c>
      <c r="DO360">
        <v>0</v>
      </c>
    </row>
    <row r="361" spans="1:119" x14ac:dyDescent="0.2">
      <c r="A361">
        <f>ROW(Source!A430)</f>
        <v>430</v>
      </c>
      <c r="B361">
        <v>94798619</v>
      </c>
      <c r="C361">
        <v>94802326</v>
      </c>
      <c r="D361">
        <v>37803044</v>
      </c>
      <c r="E361">
        <v>1</v>
      </c>
      <c r="F361">
        <v>1</v>
      </c>
      <c r="G361">
        <v>1</v>
      </c>
      <c r="H361">
        <v>2</v>
      </c>
      <c r="I361" t="s">
        <v>995</v>
      </c>
      <c r="J361" t="s">
        <v>996</v>
      </c>
      <c r="K361" t="s">
        <v>997</v>
      </c>
      <c r="L361">
        <v>1368</v>
      </c>
      <c r="N361">
        <v>1011</v>
      </c>
      <c r="O361" t="s">
        <v>700</v>
      </c>
      <c r="P361" t="s">
        <v>700</v>
      </c>
      <c r="Q361">
        <v>1</v>
      </c>
      <c r="W361">
        <v>0</v>
      </c>
      <c r="X361">
        <v>668512563</v>
      </c>
      <c r="Y361">
        <f t="shared" si="152"/>
        <v>9.6999999999999993</v>
      </c>
      <c r="AA361">
        <v>0</v>
      </c>
      <c r="AB361">
        <v>1920.91</v>
      </c>
      <c r="AC361">
        <v>365.04</v>
      </c>
      <c r="AD361">
        <v>0</v>
      </c>
      <c r="AE361">
        <v>0</v>
      </c>
      <c r="AF361">
        <v>65.92</v>
      </c>
      <c r="AG361">
        <v>10.35</v>
      </c>
      <c r="AH361">
        <v>0</v>
      </c>
      <c r="AI361">
        <v>1</v>
      </c>
      <c r="AJ361">
        <v>29.14</v>
      </c>
      <c r="AK361">
        <v>35.270000000000003</v>
      </c>
      <c r="AL361">
        <v>1</v>
      </c>
      <c r="AM361">
        <v>2</v>
      </c>
      <c r="AN361">
        <v>0</v>
      </c>
      <c r="AO361">
        <v>1</v>
      </c>
      <c r="AP361">
        <v>1</v>
      </c>
      <c r="AQ361">
        <v>0</v>
      </c>
      <c r="AR361">
        <v>0</v>
      </c>
      <c r="AS361" t="s">
        <v>3</v>
      </c>
      <c r="AT361">
        <v>9.6999999999999993</v>
      </c>
      <c r="AU361" t="s">
        <v>3</v>
      </c>
      <c r="AV361">
        <v>0</v>
      </c>
      <c r="AW361">
        <v>2</v>
      </c>
      <c r="AX361">
        <v>94802342</v>
      </c>
      <c r="AY361">
        <v>1</v>
      </c>
      <c r="AZ361">
        <v>0</v>
      </c>
      <c r="BA361">
        <v>361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V361">
        <v>0</v>
      </c>
      <c r="CW361">
        <f>ROUND(Y361*Source!I430*DO361,9)</f>
        <v>0</v>
      </c>
      <c r="CX361">
        <f>ROUND(Y361*Source!I430,9)</f>
        <v>0.29099999999999998</v>
      </c>
      <c r="CY361">
        <f t="shared" si="157"/>
        <v>1920.91</v>
      </c>
      <c r="CZ361">
        <f t="shared" si="158"/>
        <v>65.92</v>
      </c>
      <c r="DA361">
        <f t="shared" si="159"/>
        <v>29.14</v>
      </c>
      <c r="DB361">
        <f t="shared" si="153"/>
        <v>639.41999999999996</v>
      </c>
      <c r="DC361">
        <f t="shared" si="154"/>
        <v>100.4</v>
      </c>
      <c r="DD361" t="s">
        <v>3</v>
      </c>
      <c r="DE361" t="s">
        <v>3</v>
      </c>
      <c r="DF361">
        <f t="shared" si="156"/>
        <v>0</v>
      </c>
      <c r="DG361">
        <f t="shared" si="160"/>
        <v>558.98</v>
      </c>
      <c r="DH361">
        <f t="shared" si="161"/>
        <v>106.23</v>
      </c>
      <c r="DI361">
        <f t="shared" si="144"/>
        <v>0</v>
      </c>
      <c r="DJ361">
        <f t="shared" si="162"/>
        <v>558.98</v>
      </c>
      <c r="DK361">
        <v>0</v>
      </c>
      <c r="DL361" t="s">
        <v>3</v>
      </c>
      <c r="DM361">
        <v>0</v>
      </c>
      <c r="DN361" t="s">
        <v>3</v>
      </c>
      <c r="DO361">
        <v>0</v>
      </c>
    </row>
    <row r="362" spans="1:119" x14ac:dyDescent="0.2">
      <c r="A362">
        <f>ROW(Source!A430)</f>
        <v>430</v>
      </c>
      <c r="B362">
        <v>94798619</v>
      </c>
      <c r="C362">
        <v>94802326</v>
      </c>
      <c r="D362">
        <v>37803045</v>
      </c>
      <c r="E362">
        <v>1</v>
      </c>
      <c r="F362">
        <v>1</v>
      </c>
      <c r="G362">
        <v>1</v>
      </c>
      <c r="H362">
        <v>2</v>
      </c>
      <c r="I362" t="s">
        <v>998</v>
      </c>
      <c r="J362" t="s">
        <v>999</v>
      </c>
      <c r="K362" t="s">
        <v>1000</v>
      </c>
      <c r="L362">
        <v>1368</v>
      </c>
      <c r="N362">
        <v>1011</v>
      </c>
      <c r="O362" t="s">
        <v>700</v>
      </c>
      <c r="P362" t="s">
        <v>700</v>
      </c>
      <c r="Q362">
        <v>1</v>
      </c>
      <c r="W362">
        <v>0</v>
      </c>
      <c r="X362">
        <v>154705608</v>
      </c>
      <c r="Y362">
        <f t="shared" si="152"/>
        <v>21.66</v>
      </c>
      <c r="AA362">
        <v>0</v>
      </c>
      <c r="AB362">
        <v>2491.9</v>
      </c>
      <c r="AC362">
        <v>454.98</v>
      </c>
      <c r="AD362">
        <v>0</v>
      </c>
      <c r="AE362">
        <v>0</v>
      </c>
      <c r="AF362">
        <v>95.99</v>
      </c>
      <c r="AG362">
        <v>12.9</v>
      </c>
      <c r="AH362">
        <v>0</v>
      </c>
      <c r="AI362">
        <v>1</v>
      </c>
      <c r="AJ362">
        <v>25.96</v>
      </c>
      <c r="AK362">
        <v>35.270000000000003</v>
      </c>
      <c r="AL362">
        <v>1</v>
      </c>
      <c r="AM362">
        <v>2</v>
      </c>
      <c r="AN362">
        <v>0</v>
      </c>
      <c r="AO362">
        <v>1</v>
      </c>
      <c r="AP362">
        <v>1</v>
      </c>
      <c r="AQ362">
        <v>0</v>
      </c>
      <c r="AR362">
        <v>0</v>
      </c>
      <c r="AS362" t="s">
        <v>3</v>
      </c>
      <c r="AT362">
        <v>21.66</v>
      </c>
      <c r="AU362" t="s">
        <v>3</v>
      </c>
      <c r="AV362">
        <v>0</v>
      </c>
      <c r="AW362">
        <v>2</v>
      </c>
      <c r="AX362">
        <v>94802343</v>
      </c>
      <c r="AY362">
        <v>1</v>
      </c>
      <c r="AZ362">
        <v>0</v>
      </c>
      <c r="BA362">
        <v>362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V362">
        <v>0</v>
      </c>
      <c r="CW362">
        <f>ROUND(Y362*Source!I430*DO362,9)</f>
        <v>0</v>
      </c>
      <c r="CX362">
        <f>ROUND(Y362*Source!I430,9)</f>
        <v>0.64980000000000004</v>
      </c>
      <c r="CY362">
        <f t="shared" si="157"/>
        <v>2491.9</v>
      </c>
      <c r="CZ362">
        <f t="shared" si="158"/>
        <v>95.99</v>
      </c>
      <c r="DA362">
        <f t="shared" si="159"/>
        <v>25.96</v>
      </c>
      <c r="DB362">
        <f t="shared" si="153"/>
        <v>2079.14</v>
      </c>
      <c r="DC362">
        <f t="shared" si="154"/>
        <v>279.41000000000003</v>
      </c>
      <c r="DD362" t="s">
        <v>3</v>
      </c>
      <c r="DE362" t="s">
        <v>3</v>
      </c>
      <c r="DF362">
        <f t="shared" si="156"/>
        <v>0</v>
      </c>
      <c r="DG362">
        <f t="shared" si="160"/>
        <v>1619.24</v>
      </c>
      <c r="DH362">
        <f t="shared" si="161"/>
        <v>295.64999999999998</v>
      </c>
      <c r="DI362">
        <f t="shared" si="144"/>
        <v>0</v>
      </c>
      <c r="DJ362">
        <f t="shared" si="162"/>
        <v>1619.24</v>
      </c>
      <c r="DK362">
        <v>0</v>
      </c>
      <c r="DL362" t="s">
        <v>3</v>
      </c>
      <c r="DM362">
        <v>0</v>
      </c>
      <c r="DN362" t="s">
        <v>3</v>
      </c>
      <c r="DO362">
        <v>0</v>
      </c>
    </row>
    <row r="363" spans="1:119" x14ac:dyDescent="0.2">
      <c r="A363">
        <f>ROW(Source!A430)</f>
        <v>430</v>
      </c>
      <c r="B363">
        <v>94798619</v>
      </c>
      <c r="C363">
        <v>94802326</v>
      </c>
      <c r="D363">
        <v>37803111</v>
      </c>
      <c r="E363">
        <v>1</v>
      </c>
      <c r="F363">
        <v>1</v>
      </c>
      <c r="G363">
        <v>1</v>
      </c>
      <c r="H363">
        <v>2</v>
      </c>
      <c r="I363" t="s">
        <v>880</v>
      </c>
      <c r="J363" t="s">
        <v>881</v>
      </c>
      <c r="K363" t="s">
        <v>882</v>
      </c>
      <c r="L363">
        <v>1368</v>
      </c>
      <c r="N363">
        <v>1011</v>
      </c>
      <c r="O363" t="s">
        <v>700</v>
      </c>
      <c r="P363" t="s">
        <v>700</v>
      </c>
      <c r="Q363">
        <v>1</v>
      </c>
      <c r="W363">
        <v>0</v>
      </c>
      <c r="X363">
        <v>1797372022</v>
      </c>
      <c r="Y363">
        <f t="shared" si="152"/>
        <v>2.96</v>
      </c>
      <c r="AA363">
        <v>0</v>
      </c>
      <c r="AB363">
        <v>1562.18</v>
      </c>
      <c r="AC363">
        <v>365.04</v>
      </c>
      <c r="AD363">
        <v>0</v>
      </c>
      <c r="AE363">
        <v>0</v>
      </c>
      <c r="AF363">
        <v>119.25</v>
      </c>
      <c r="AG363">
        <v>10.35</v>
      </c>
      <c r="AH363">
        <v>0</v>
      </c>
      <c r="AI363">
        <v>1</v>
      </c>
      <c r="AJ363">
        <v>13.1</v>
      </c>
      <c r="AK363">
        <v>35.270000000000003</v>
      </c>
      <c r="AL363">
        <v>1</v>
      </c>
      <c r="AM363">
        <v>2</v>
      </c>
      <c r="AN363">
        <v>0</v>
      </c>
      <c r="AO363">
        <v>1</v>
      </c>
      <c r="AP363">
        <v>1</v>
      </c>
      <c r="AQ363">
        <v>0</v>
      </c>
      <c r="AR363">
        <v>0</v>
      </c>
      <c r="AS363" t="s">
        <v>3</v>
      </c>
      <c r="AT363">
        <v>2.96</v>
      </c>
      <c r="AU363" t="s">
        <v>3</v>
      </c>
      <c r="AV363">
        <v>0</v>
      </c>
      <c r="AW363">
        <v>2</v>
      </c>
      <c r="AX363">
        <v>94802344</v>
      </c>
      <c r="AY363">
        <v>1</v>
      </c>
      <c r="AZ363">
        <v>0</v>
      </c>
      <c r="BA363">
        <v>363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V363">
        <v>0</v>
      </c>
      <c r="CW363">
        <f>ROUND(Y363*Source!I430*DO363,9)</f>
        <v>0</v>
      </c>
      <c r="CX363">
        <f>ROUND(Y363*Source!I430,9)</f>
        <v>8.8800000000000004E-2</v>
      </c>
      <c r="CY363">
        <f t="shared" si="157"/>
        <v>1562.18</v>
      </c>
      <c r="CZ363">
        <f t="shared" si="158"/>
        <v>119.25</v>
      </c>
      <c r="DA363">
        <f t="shared" si="159"/>
        <v>13.1</v>
      </c>
      <c r="DB363">
        <f t="shared" si="153"/>
        <v>352.98</v>
      </c>
      <c r="DC363">
        <f t="shared" si="154"/>
        <v>30.64</v>
      </c>
      <c r="DD363" t="s">
        <v>3</v>
      </c>
      <c r="DE363" t="s">
        <v>3</v>
      </c>
      <c r="DF363">
        <f t="shared" si="156"/>
        <v>0</v>
      </c>
      <c r="DG363">
        <f t="shared" si="160"/>
        <v>138.72</v>
      </c>
      <c r="DH363">
        <f t="shared" si="161"/>
        <v>32.42</v>
      </c>
      <c r="DI363">
        <f t="shared" si="144"/>
        <v>0</v>
      </c>
      <c r="DJ363">
        <f t="shared" si="162"/>
        <v>138.72</v>
      </c>
      <c r="DK363">
        <v>0</v>
      </c>
      <c r="DL363" t="s">
        <v>3</v>
      </c>
      <c r="DM363">
        <v>0</v>
      </c>
      <c r="DN363" t="s">
        <v>3</v>
      </c>
      <c r="DO363">
        <v>0</v>
      </c>
    </row>
    <row r="364" spans="1:119" x14ac:dyDescent="0.2">
      <c r="A364">
        <f>ROW(Source!A430)</f>
        <v>430</v>
      </c>
      <c r="B364">
        <v>94798619</v>
      </c>
      <c r="C364">
        <v>94802326</v>
      </c>
      <c r="D364">
        <v>37803126</v>
      </c>
      <c r="E364">
        <v>1</v>
      </c>
      <c r="F364">
        <v>1</v>
      </c>
      <c r="G364">
        <v>1</v>
      </c>
      <c r="H364">
        <v>2</v>
      </c>
      <c r="I364" t="s">
        <v>1001</v>
      </c>
      <c r="J364" t="s">
        <v>1002</v>
      </c>
      <c r="K364" t="s">
        <v>1003</v>
      </c>
      <c r="L364">
        <v>1368</v>
      </c>
      <c r="N364">
        <v>1011</v>
      </c>
      <c r="O364" t="s">
        <v>700</v>
      </c>
      <c r="P364" t="s">
        <v>700</v>
      </c>
      <c r="Q364">
        <v>1</v>
      </c>
      <c r="W364">
        <v>0</v>
      </c>
      <c r="X364">
        <v>-928177937</v>
      </c>
      <c r="Y364">
        <f t="shared" si="152"/>
        <v>0.65</v>
      </c>
      <c r="AA364">
        <v>0</v>
      </c>
      <c r="AB364">
        <v>1112.2</v>
      </c>
      <c r="AC364">
        <v>426.77</v>
      </c>
      <c r="AD364">
        <v>0</v>
      </c>
      <c r="AE364">
        <v>0</v>
      </c>
      <c r="AF364">
        <v>126.1</v>
      </c>
      <c r="AG364">
        <v>12.1</v>
      </c>
      <c r="AH364">
        <v>0</v>
      </c>
      <c r="AI364">
        <v>1</v>
      </c>
      <c r="AJ364">
        <v>8.82</v>
      </c>
      <c r="AK364">
        <v>35.270000000000003</v>
      </c>
      <c r="AL364">
        <v>1</v>
      </c>
      <c r="AM364">
        <v>2</v>
      </c>
      <c r="AN364">
        <v>0</v>
      </c>
      <c r="AO364">
        <v>1</v>
      </c>
      <c r="AP364">
        <v>1</v>
      </c>
      <c r="AQ364">
        <v>0</v>
      </c>
      <c r="AR364">
        <v>0</v>
      </c>
      <c r="AS364" t="s">
        <v>3</v>
      </c>
      <c r="AT364">
        <v>0.65</v>
      </c>
      <c r="AU364" t="s">
        <v>3</v>
      </c>
      <c r="AV364">
        <v>0</v>
      </c>
      <c r="AW364">
        <v>2</v>
      </c>
      <c r="AX364">
        <v>94802345</v>
      </c>
      <c r="AY364">
        <v>1</v>
      </c>
      <c r="AZ364">
        <v>0</v>
      </c>
      <c r="BA364">
        <v>364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V364">
        <v>0</v>
      </c>
      <c r="CW364">
        <f>ROUND(Y364*Source!I430*DO364,9)</f>
        <v>0</v>
      </c>
      <c r="CX364">
        <f>ROUND(Y364*Source!I430,9)</f>
        <v>1.95E-2</v>
      </c>
      <c r="CY364">
        <f t="shared" si="157"/>
        <v>1112.2</v>
      </c>
      <c r="CZ364">
        <f t="shared" si="158"/>
        <v>126.1</v>
      </c>
      <c r="DA364">
        <f t="shared" si="159"/>
        <v>8.82</v>
      </c>
      <c r="DB364">
        <f t="shared" si="153"/>
        <v>81.97</v>
      </c>
      <c r="DC364">
        <f t="shared" si="154"/>
        <v>7.87</v>
      </c>
      <c r="DD364" t="s">
        <v>3</v>
      </c>
      <c r="DE364" t="s">
        <v>3</v>
      </c>
      <c r="DF364">
        <f t="shared" si="156"/>
        <v>0</v>
      </c>
      <c r="DG364">
        <f t="shared" si="160"/>
        <v>21.69</v>
      </c>
      <c r="DH364">
        <f t="shared" si="161"/>
        <v>8.32</v>
      </c>
      <c r="DI364">
        <f t="shared" si="144"/>
        <v>0</v>
      </c>
      <c r="DJ364">
        <f t="shared" si="162"/>
        <v>21.69</v>
      </c>
      <c r="DK364">
        <v>0</v>
      </c>
      <c r="DL364" t="s">
        <v>3</v>
      </c>
      <c r="DM364">
        <v>0</v>
      </c>
      <c r="DN364" t="s">
        <v>3</v>
      </c>
      <c r="DO364">
        <v>0</v>
      </c>
    </row>
    <row r="365" spans="1:119" x14ac:dyDescent="0.2">
      <c r="A365">
        <f>ROW(Source!A430)</f>
        <v>430</v>
      </c>
      <c r="B365">
        <v>94798619</v>
      </c>
      <c r="C365">
        <v>94802326</v>
      </c>
      <c r="D365">
        <v>37777281</v>
      </c>
      <c r="E365">
        <v>1</v>
      </c>
      <c r="F365">
        <v>1</v>
      </c>
      <c r="G365">
        <v>1</v>
      </c>
      <c r="H365">
        <v>3</v>
      </c>
      <c r="I365" t="s">
        <v>1004</v>
      </c>
      <c r="J365" t="s">
        <v>1005</v>
      </c>
      <c r="K365" t="s">
        <v>1006</v>
      </c>
      <c r="L365">
        <v>1339</v>
      </c>
      <c r="N365">
        <v>1007</v>
      </c>
      <c r="O365" t="s">
        <v>52</v>
      </c>
      <c r="P365" t="s">
        <v>52</v>
      </c>
      <c r="Q365">
        <v>1</v>
      </c>
      <c r="W365">
        <v>0</v>
      </c>
      <c r="X365">
        <v>734935176</v>
      </c>
      <c r="Y365">
        <f t="shared" si="152"/>
        <v>15</v>
      </c>
      <c r="AA365">
        <v>3968.12</v>
      </c>
      <c r="AB365">
        <v>0</v>
      </c>
      <c r="AC365">
        <v>0</v>
      </c>
      <c r="AD365">
        <v>0</v>
      </c>
      <c r="AE365">
        <v>276.91000000000003</v>
      </c>
      <c r="AF365">
        <v>0</v>
      </c>
      <c r="AG365">
        <v>0</v>
      </c>
      <c r="AH365">
        <v>0</v>
      </c>
      <c r="AI365">
        <v>14.33</v>
      </c>
      <c r="AJ365">
        <v>1</v>
      </c>
      <c r="AK365">
        <v>1</v>
      </c>
      <c r="AL365">
        <v>1</v>
      </c>
      <c r="AM365">
        <v>2</v>
      </c>
      <c r="AN365">
        <v>0</v>
      </c>
      <c r="AO365">
        <v>1</v>
      </c>
      <c r="AP365">
        <v>1</v>
      </c>
      <c r="AQ365">
        <v>0</v>
      </c>
      <c r="AR365">
        <v>0</v>
      </c>
      <c r="AS365" t="s">
        <v>3</v>
      </c>
      <c r="AT365">
        <v>15</v>
      </c>
      <c r="AU365" t="s">
        <v>3</v>
      </c>
      <c r="AV365">
        <v>0</v>
      </c>
      <c r="AW365">
        <v>2</v>
      </c>
      <c r="AX365">
        <v>94802346</v>
      </c>
      <c r="AY365">
        <v>1</v>
      </c>
      <c r="AZ365">
        <v>0</v>
      </c>
      <c r="BA365">
        <v>365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V365">
        <v>0</v>
      </c>
      <c r="CW365">
        <v>0</v>
      </c>
      <c r="CX365">
        <f>ROUND(Y365*Source!I430,9)</f>
        <v>0.45</v>
      </c>
      <c r="CY365">
        <f>AA365</f>
        <v>3968.12</v>
      </c>
      <c r="CZ365">
        <f>AE365</f>
        <v>276.91000000000003</v>
      </c>
      <c r="DA365">
        <f>AI365</f>
        <v>14.33</v>
      </c>
      <c r="DB365">
        <f t="shared" si="153"/>
        <v>4153.6499999999996</v>
      </c>
      <c r="DC365">
        <f t="shared" si="154"/>
        <v>0</v>
      </c>
      <c r="DD365" t="s">
        <v>3</v>
      </c>
      <c r="DE365" t="s">
        <v>3</v>
      </c>
      <c r="DF365">
        <f>ROUND(ROUND(AE365*AI365,2)*CX365,2)</f>
        <v>1785.65</v>
      </c>
      <c r="DG365">
        <f>ROUND(ROUND(AF365,2)*CX365,2)</f>
        <v>0</v>
      </c>
      <c r="DH365">
        <f>ROUND(ROUND(AG365,2)*CX365,2)</f>
        <v>0</v>
      </c>
      <c r="DI365">
        <f t="shared" si="144"/>
        <v>0</v>
      </c>
      <c r="DJ365">
        <f>DF365</f>
        <v>1785.65</v>
      </c>
      <c r="DK365">
        <v>0</v>
      </c>
      <c r="DL365" t="s">
        <v>3</v>
      </c>
      <c r="DM365">
        <v>0</v>
      </c>
      <c r="DN365" t="s">
        <v>3</v>
      </c>
      <c r="DO365">
        <v>0</v>
      </c>
    </row>
    <row r="366" spans="1:119" x14ac:dyDescent="0.2">
      <c r="A366">
        <f>ROW(Source!A430)</f>
        <v>430</v>
      </c>
      <c r="B366">
        <v>94798619</v>
      </c>
      <c r="C366">
        <v>94802326</v>
      </c>
      <c r="D366">
        <v>37777285</v>
      </c>
      <c r="E366">
        <v>1</v>
      </c>
      <c r="F366">
        <v>1</v>
      </c>
      <c r="G366">
        <v>1</v>
      </c>
      <c r="H366">
        <v>3</v>
      </c>
      <c r="I366" t="s">
        <v>1007</v>
      </c>
      <c r="J366" t="s">
        <v>1008</v>
      </c>
      <c r="K366" t="s">
        <v>1009</v>
      </c>
      <c r="L366">
        <v>1339</v>
      </c>
      <c r="N366">
        <v>1007</v>
      </c>
      <c r="O366" t="s">
        <v>52</v>
      </c>
      <c r="P366" t="s">
        <v>52</v>
      </c>
      <c r="Q366">
        <v>1</v>
      </c>
      <c r="W366">
        <v>0</v>
      </c>
      <c r="X366">
        <v>-1461224401</v>
      </c>
      <c r="Y366">
        <f t="shared" si="152"/>
        <v>189</v>
      </c>
      <c r="AA366">
        <v>3583.44</v>
      </c>
      <c r="AB366">
        <v>0</v>
      </c>
      <c r="AC366">
        <v>0</v>
      </c>
      <c r="AD366">
        <v>0</v>
      </c>
      <c r="AE366">
        <v>256.51</v>
      </c>
      <c r="AF366">
        <v>0</v>
      </c>
      <c r="AG366">
        <v>0</v>
      </c>
      <c r="AH366">
        <v>0</v>
      </c>
      <c r="AI366">
        <v>13.97</v>
      </c>
      <c r="AJ366">
        <v>1</v>
      </c>
      <c r="AK366">
        <v>1</v>
      </c>
      <c r="AL366">
        <v>1</v>
      </c>
      <c r="AM366">
        <v>2</v>
      </c>
      <c r="AN366">
        <v>0</v>
      </c>
      <c r="AO366">
        <v>1</v>
      </c>
      <c r="AP366">
        <v>1</v>
      </c>
      <c r="AQ366">
        <v>0</v>
      </c>
      <c r="AR366">
        <v>0</v>
      </c>
      <c r="AS366" t="s">
        <v>3</v>
      </c>
      <c r="AT366">
        <v>189</v>
      </c>
      <c r="AU366" t="s">
        <v>3</v>
      </c>
      <c r="AV366">
        <v>0</v>
      </c>
      <c r="AW366">
        <v>2</v>
      </c>
      <c r="AX366">
        <v>94802347</v>
      </c>
      <c r="AY366">
        <v>1</v>
      </c>
      <c r="AZ366">
        <v>0</v>
      </c>
      <c r="BA366">
        <v>366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V366">
        <v>0</v>
      </c>
      <c r="CW366">
        <v>0</v>
      </c>
      <c r="CX366">
        <f>ROUND(Y366*Source!I430,9)</f>
        <v>5.67</v>
      </c>
      <c r="CY366">
        <f>AA366</f>
        <v>3583.44</v>
      </c>
      <c r="CZ366">
        <f>AE366</f>
        <v>256.51</v>
      </c>
      <c r="DA366">
        <f>AI366</f>
        <v>13.97</v>
      </c>
      <c r="DB366">
        <f t="shared" si="153"/>
        <v>48480.39</v>
      </c>
      <c r="DC366">
        <f t="shared" si="154"/>
        <v>0</v>
      </c>
      <c r="DD366" t="s">
        <v>3</v>
      </c>
      <c r="DE366" t="s">
        <v>3</v>
      </c>
      <c r="DF366">
        <f>ROUND(ROUND(AE366*AI366,2)*CX366,2)</f>
        <v>20318.099999999999</v>
      </c>
      <c r="DG366">
        <f>ROUND(ROUND(AF366,2)*CX366,2)</f>
        <v>0</v>
      </c>
      <c r="DH366">
        <f>ROUND(ROUND(AG366,2)*CX366,2)</f>
        <v>0</v>
      </c>
      <c r="DI366">
        <f t="shared" si="144"/>
        <v>0</v>
      </c>
      <c r="DJ366">
        <f>DF366</f>
        <v>20318.099999999999</v>
      </c>
      <c r="DK366">
        <v>0</v>
      </c>
      <c r="DL366" t="s">
        <v>3</v>
      </c>
      <c r="DM366">
        <v>0</v>
      </c>
      <c r="DN366" t="s">
        <v>3</v>
      </c>
      <c r="DO366">
        <v>0</v>
      </c>
    </row>
    <row r="367" spans="1:119" x14ac:dyDescent="0.2">
      <c r="A367">
        <f>ROW(Source!A430)</f>
        <v>430</v>
      </c>
      <c r="B367">
        <v>94798619</v>
      </c>
      <c r="C367">
        <v>94802326</v>
      </c>
      <c r="D367">
        <v>37777802</v>
      </c>
      <c r="E367">
        <v>1</v>
      </c>
      <c r="F367">
        <v>1</v>
      </c>
      <c r="G367">
        <v>1</v>
      </c>
      <c r="H367">
        <v>3</v>
      </c>
      <c r="I367" t="s">
        <v>883</v>
      </c>
      <c r="J367" t="s">
        <v>884</v>
      </c>
      <c r="K367" t="s">
        <v>885</v>
      </c>
      <c r="L367">
        <v>1339</v>
      </c>
      <c r="N367">
        <v>1007</v>
      </c>
      <c r="O367" t="s">
        <v>52</v>
      </c>
      <c r="P367" t="s">
        <v>52</v>
      </c>
      <c r="Q367">
        <v>1</v>
      </c>
      <c r="W367">
        <v>0</v>
      </c>
      <c r="X367">
        <v>-1418712732</v>
      </c>
      <c r="Y367">
        <f t="shared" si="152"/>
        <v>30</v>
      </c>
      <c r="AA367">
        <v>19.59</v>
      </c>
      <c r="AB367">
        <v>0</v>
      </c>
      <c r="AC367">
        <v>0</v>
      </c>
      <c r="AD367">
        <v>0</v>
      </c>
      <c r="AE367">
        <v>2.4700000000000002</v>
      </c>
      <c r="AF367">
        <v>0</v>
      </c>
      <c r="AG367">
        <v>0</v>
      </c>
      <c r="AH367">
        <v>0</v>
      </c>
      <c r="AI367">
        <v>7.93</v>
      </c>
      <c r="AJ367">
        <v>1</v>
      </c>
      <c r="AK367">
        <v>1</v>
      </c>
      <c r="AL367">
        <v>1</v>
      </c>
      <c r="AM367">
        <v>2</v>
      </c>
      <c r="AN367">
        <v>0</v>
      </c>
      <c r="AO367">
        <v>1</v>
      </c>
      <c r="AP367">
        <v>1</v>
      </c>
      <c r="AQ367">
        <v>0</v>
      </c>
      <c r="AR367">
        <v>0</v>
      </c>
      <c r="AS367" t="s">
        <v>3</v>
      </c>
      <c r="AT367">
        <v>30</v>
      </c>
      <c r="AU367" t="s">
        <v>3</v>
      </c>
      <c r="AV367">
        <v>0</v>
      </c>
      <c r="AW367">
        <v>2</v>
      </c>
      <c r="AX367">
        <v>94802348</v>
      </c>
      <c r="AY367">
        <v>1</v>
      </c>
      <c r="AZ367">
        <v>0</v>
      </c>
      <c r="BA367">
        <v>367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V367">
        <v>0</v>
      </c>
      <c r="CW367">
        <v>0</v>
      </c>
      <c r="CX367">
        <f>ROUND(Y367*Source!I430,9)</f>
        <v>0.9</v>
      </c>
      <c r="CY367">
        <f>AA367</f>
        <v>19.59</v>
      </c>
      <c r="CZ367">
        <f>AE367</f>
        <v>2.4700000000000002</v>
      </c>
      <c r="DA367">
        <f>AI367</f>
        <v>7.93</v>
      </c>
      <c r="DB367">
        <f t="shared" si="153"/>
        <v>74.099999999999994</v>
      </c>
      <c r="DC367">
        <f t="shared" si="154"/>
        <v>0</v>
      </c>
      <c r="DD367" t="s">
        <v>3</v>
      </c>
      <c r="DE367" t="s">
        <v>3</v>
      </c>
      <c r="DF367">
        <f>ROUND(ROUND(AE367*AI367,2)*CX367,2)</f>
        <v>17.63</v>
      </c>
      <c r="DG367">
        <f>ROUND(ROUND(AF367,2)*CX367,2)</f>
        <v>0</v>
      </c>
      <c r="DH367">
        <f>ROUND(ROUND(AG367,2)*CX367,2)</f>
        <v>0</v>
      </c>
      <c r="DI367">
        <f t="shared" si="144"/>
        <v>0</v>
      </c>
      <c r="DJ367">
        <f>DF367</f>
        <v>17.63</v>
      </c>
      <c r="DK367">
        <v>0</v>
      </c>
      <c r="DL367" t="s">
        <v>3</v>
      </c>
      <c r="DM367">
        <v>0</v>
      </c>
      <c r="DN367" t="s">
        <v>3</v>
      </c>
      <c r="DO367">
        <v>0</v>
      </c>
    </row>
    <row r="368" spans="1:119" x14ac:dyDescent="0.2">
      <c r="A368">
        <f>ROW(Source!A431)</f>
        <v>431</v>
      </c>
      <c r="B368">
        <v>94798619</v>
      </c>
      <c r="C368">
        <v>94802349</v>
      </c>
      <c r="D368">
        <v>121548</v>
      </c>
      <c r="E368">
        <v>1</v>
      </c>
      <c r="F368">
        <v>1</v>
      </c>
      <c r="G368">
        <v>1</v>
      </c>
      <c r="H368">
        <v>1</v>
      </c>
      <c r="I368" t="s">
        <v>28</v>
      </c>
      <c r="J368" t="s">
        <v>3</v>
      </c>
      <c r="K368" t="s">
        <v>705</v>
      </c>
      <c r="L368">
        <v>608254</v>
      </c>
      <c r="N368">
        <v>1013</v>
      </c>
      <c r="O368" t="s">
        <v>706</v>
      </c>
      <c r="P368" t="s">
        <v>706</v>
      </c>
      <c r="Q368">
        <v>1</v>
      </c>
      <c r="W368">
        <v>0</v>
      </c>
      <c r="X368">
        <v>-185737400</v>
      </c>
      <c r="Y368">
        <f t="shared" si="152"/>
        <v>0.66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1</v>
      </c>
      <c r="AL368">
        <v>1</v>
      </c>
      <c r="AM368">
        <v>-2</v>
      </c>
      <c r="AN368">
        <v>0</v>
      </c>
      <c r="AO368">
        <v>1</v>
      </c>
      <c r="AP368">
        <v>1</v>
      </c>
      <c r="AQ368">
        <v>0</v>
      </c>
      <c r="AR368">
        <v>0</v>
      </c>
      <c r="AS368" t="s">
        <v>3</v>
      </c>
      <c r="AT368">
        <v>0.66</v>
      </c>
      <c r="AU368" t="s">
        <v>3</v>
      </c>
      <c r="AV368">
        <v>2</v>
      </c>
      <c r="AW368">
        <v>2</v>
      </c>
      <c r="AX368">
        <v>94802350</v>
      </c>
      <c r="AY368">
        <v>1</v>
      </c>
      <c r="AZ368">
        <v>0</v>
      </c>
      <c r="BA368">
        <v>368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V368">
        <v>0</v>
      </c>
      <c r="CW368">
        <v>0</v>
      </c>
      <c r="CX368">
        <f>ROUND(Y368*Source!I431,9)</f>
        <v>1.3860000000000001E-2</v>
      </c>
      <c r="CY368">
        <f>AD368</f>
        <v>0</v>
      </c>
      <c r="CZ368">
        <f>AH368</f>
        <v>0</v>
      </c>
      <c r="DA368">
        <f>AL368</f>
        <v>1</v>
      </c>
      <c r="DB368">
        <f t="shared" si="153"/>
        <v>0</v>
      </c>
      <c r="DC368">
        <f t="shared" si="154"/>
        <v>0</v>
      </c>
      <c r="DD368" t="s">
        <v>3</v>
      </c>
      <c r="DE368" t="s">
        <v>3</v>
      </c>
      <c r="DF368">
        <f>ROUND(ROUND(AE368,2)*CX368,2)</f>
        <v>0</v>
      </c>
      <c r="DG368">
        <f>ROUND(ROUND(AF368,2)*CX368,2)</f>
        <v>0</v>
      </c>
      <c r="DH368">
        <f>ROUND(ROUND(AG368,2)*CX368,2)</f>
        <v>0</v>
      </c>
      <c r="DI368">
        <f t="shared" si="144"/>
        <v>0</v>
      </c>
      <c r="DJ368">
        <f>DI368</f>
        <v>0</v>
      </c>
      <c r="DK368">
        <v>0</v>
      </c>
      <c r="DL368" t="s">
        <v>3</v>
      </c>
      <c r="DM368">
        <v>0</v>
      </c>
      <c r="DN368" t="s">
        <v>3</v>
      </c>
      <c r="DO368">
        <v>0</v>
      </c>
    </row>
    <row r="369" spans="1:119" x14ac:dyDescent="0.2">
      <c r="A369">
        <f>ROW(Source!A431)</f>
        <v>431</v>
      </c>
      <c r="B369">
        <v>94798619</v>
      </c>
      <c r="C369">
        <v>94802349</v>
      </c>
      <c r="D369">
        <v>37803016</v>
      </c>
      <c r="E369">
        <v>1</v>
      </c>
      <c r="F369">
        <v>1</v>
      </c>
      <c r="G369">
        <v>1</v>
      </c>
      <c r="H369">
        <v>2</v>
      </c>
      <c r="I369" t="s">
        <v>1010</v>
      </c>
      <c r="J369" t="s">
        <v>1011</v>
      </c>
      <c r="K369" t="s">
        <v>1012</v>
      </c>
      <c r="L369">
        <v>1368</v>
      </c>
      <c r="N369">
        <v>1011</v>
      </c>
      <c r="O369" t="s">
        <v>700</v>
      </c>
      <c r="P369" t="s">
        <v>700</v>
      </c>
      <c r="Q369">
        <v>1</v>
      </c>
      <c r="W369">
        <v>0</v>
      </c>
      <c r="X369">
        <v>-523335971</v>
      </c>
      <c r="Y369">
        <f t="shared" si="152"/>
        <v>0.33</v>
      </c>
      <c r="AA369">
        <v>0</v>
      </c>
      <c r="AB369">
        <v>1543.75</v>
      </c>
      <c r="AC369">
        <v>682.47</v>
      </c>
      <c r="AD369">
        <v>0</v>
      </c>
      <c r="AE369">
        <v>0</v>
      </c>
      <c r="AF369">
        <v>125.61</v>
      </c>
      <c r="AG369">
        <v>19.350000000000001</v>
      </c>
      <c r="AH369">
        <v>0</v>
      </c>
      <c r="AI369">
        <v>1</v>
      </c>
      <c r="AJ369">
        <v>12.29</v>
      </c>
      <c r="AK369">
        <v>35.270000000000003</v>
      </c>
      <c r="AL369">
        <v>1</v>
      </c>
      <c r="AM369">
        <v>2</v>
      </c>
      <c r="AN369">
        <v>0</v>
      </c>
      <c r="AO369">
        <v>1</v>
      </c>
      <c r="AP369">
        <v>1</v>
      </c>
      <c r="AQ369">
        <v>0</v>
      </c>
      <c r="AR369">
        <v>0</v>
      </c>
      <c r="AS369" t="s">
        <v>3</v>
      </c>
      <c r="AT369">
        <v>0.33</v>
      </c>
      <c r="AU369" t="s">
        <v>3</v>
      </c>
      <c r="AV369">
        <v>0</v>
      </c>
      <c r="AW369">
        <v>2</v>
      </c>
      <c r="AX369">
        <v>94802351</v>
      </c>
      <c r="AY369">
        <v>1</v>
      </c>
      <c r="AZ369">
        <v>0</v>
      </c>
      <c r="BA369">
        <v>369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V369">
        <v>0</v>
      </c>
      <c r="CW369">
        <f>ROUND(Y369*Source!I431*DO369,9)</f>
        <v>0</v>
      </c>
      <c r="CX369">
        <f>ROUND(Y369*Source!I431,9)</f>
        <v>6.9300000000000004E-3</v>
      </c>
      <c r="CY369">
        <f>AB369</f>
        <v>1543.75</v>
      </c>
      <c r="CZ369">
        <f>AF369</f>
        <v>125.61</v>
      </c>
      <c r="DA369">
        <f>AJ369</f>
        <v>12.29</v>
      </c>
      <c r="DB369">
        <f t="shared" si="153"/>
        <v>41.45</v>
      </c>
      <c r="DC369">
        <f t="shared" si="154"/>
        <v>6.39</v>
      </c>
      <c r="DD369" t="s">
        <v>3</v>
      </c>
      <c r="DE369" t="s">
        <v>3</v>
      </c>
      <c r="DF369">
        <f>ROUND(ROUND(AE369,2)*CX369,2)</f>
        <v>0</v>
      </c>
      <c r="DG369">
        <f>ROUND(ROUND(AF369*AJ369,2)*CX369,2)</f>
        <v>10.7</v>
      </c>
      <c r="DH369">
        <f>ROUND(ROUND(AG369*AK369,2)*CX369,2)</f>
        <v>4.7300000000000004</v>
      </c>
      <c r="DI369">
        <f t="shared" si="144"/>
        <v>0</v>
      </c>
      <c r="DJ369">
        <f>DG369</f>
        <v>10.7</v>
      </c>
      <c r="DK369">
        <v>0</v>
      </c>
      <c r="DL369" t="s">
        <v>3</v>
      </c>
      <c r="DM369">
        <v>0</v>
      </c>
      <c r="DN369" t="s">
        <v>3</v>
      </c>
      <c r="DO369">
        <v>0</v>
      </c>
    </row>
    <row r="370" spans="1:119" x14ac:dyDescent="0.2">
      <c r="A370">
        <f>ROW(Source!A431)</f>
        <v>431</v>
      </c>
      <c r="B370">
        <v>94798619</v>
      </c>
      <c r="C370">
        <v>94802349</v>
      </c>
      <c r="D370">
        <v>37730408</v>
      </c>
      <c r="E370">
        <v>1</v>
      </c>
      <c r="F370">
        <v>1</v>
      </c>
      <c r="G370">
        <v>1</v>
      </c>
      <c r="H370">
        <v>3</v>
      </c>
      <c r="I370" t="s">
        <v>1013</v>
      </c>
      <c r="J370" t="s">
        <v>1014</v>
      </c>
      <c r="K370" t="s">
        <v>1015</v>
      </c>
      <c r="L370">
        <v>1348</v>
      </c>
      <c r="N370">
        <v>1009</v>
      </c>
      <c r="O370" t="s">
        <v>170</v>
      </c>
      <c r="P370" t="s">
        <v>170</v>
      </c>
      <c r="Q370">
        <v>1000</v>
      </c>
      <c r="W370">
        <v>0</v>
      </c>
      <c r="X370">
        <v>-1668997292</v>
      </c>
      <c r="Y370">
        <f t="shared" si="152"/>
        <v>1.03</v>
      </c>
      <c r="AA370">
        <v>38793.89</v>
      </c>
      <c r="AB370">
        <v>0</v>
      </c>
      <c r="AC370">
        <v>0</v>
      </c>
      <c r="AD370">
        <v>0</v>
      </c>
      <c r="AE370">
        <v>1753</v>
      </c>
      <c r="AF370">
        <v>0</v>
      </c>
      <c r="AG370">
        <v>0</v>
      </c>
      <c r="AH370">
        <v>0</v>
      </c>
      <c r="AI370">
        <v>22.13</v>
      </c>
      <c r="AJ370">
        <v>1</v>
      </c>
      <c r="AK370">
        <v>1</v>
      </c>
      <c r="AL370">
        <v>1</v>
      </c>
      <c r="AM370">
        <v>2</v>
      </c>
      <c r="AN370">
        <v>0</v>
      </c>
      <c r="AO370">
        <v>1</v>
      </c>
      <c r="AP370">
        <v>1</v>
      </c>
      <c r="AQ370">
        <v>0</v>
      </c>
      <c r="AR370">
        <v>0</v>
      </c>
      <c r="AS370" t="s">
        <v>3</v>
      </c>
      <c r="AT370">
        <v>1.03</v>
      </c>
      <c r="AU370" t="s">
        <v>3</v>
      </c>
      <c r="AV370">
        <v>0</v>
      </c>
      <c r="AW370">
        <v>2</v>
      </c>
      <c r="AX370">
        <v>94802352</v>
      </c>
      <c r="AY370">
        <v>1</v>
      </c>
      <c r="AZ370">
        <v>0</v>
      </c>
      <c r="BA370">
        <v>370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V370">
        <v>0</v>
      </c>
      <c r="CW370">
        <v>0</v>
      </c>
      <c r="CX370">
        <f>ROUND(Y370*Source!I431,9)</f>
        <v>2.163E-2</v>
      </c>
      <c r="CY370">
        <f>AA370</f>
        <v>38793.89</v>
      </c>
      <c r="CZ370">
        <f>AE370</f>
        <v>1753</v>
      </c>
      <c r="DA370">
        <f>AI370</f>
        <v>22.13</v>
      </c>
      <c r="DB370">
        <f t="shared" si="153"/>
        <v>1805.59</v>
      </c>
      <c r="DC370">
        <f t="shared" si="154"/>
        <v>0</v>
      </c>
      <c r="DD370" t="s">
        <v>3</v>
      </c>
      <c r="DE370" t="s">
        <v>3</v>
      </c>
      <c r="DF370">
        <f>ROUND(ROUND(AE370*AI370,2)*CX370,2)</f>
        <v>839.11</v>
      </c>
      <c r="DG370">
        <f>ROUND(ROUND(AF370,2)*CX370,2)</f>
        <v>0</v>
      </c>
      <c r="DH370">
        <f>ROUND(ROUND(AG370,2)*CX370,2)</f>
        <v>0</v>
      </c>
      <c r="DI370">
        <f t="shared" si="144"/>
        <v>0</v>
      </c>
      <c r="DJ370">
        <f>DF370</f>
        <v>839.11</v>
      </c>
      <c r="DK370">
        <v>0</v>
      </c>
      <c r="DL370" t="s">
        <v>3</v>
      </c>
      <c r="DM370">
        <v>0</v>
      </c>
      <c r="DN370" t="s">
        <v>3</v>
      </c>
      <c r="DO370">
        <v>0</v>
      </c>
    </row>
    <row r="371" spans="1:119" x14ac:dyDescent="0.2">
      <c r="A371">
        <f>ROW(Source!A432)</f>
        <v>432</v>
      </c>
      <c r="B371">
        <v>94798619</v>
      </c>
      <c r="C371">
        <v>94802393</v>
      </c>
      <c r="D371">
        <v>23134555</v>
      </c>
      <c r="E371">
        <v>1</v>
      </c>
      <c r="F371">
        <v>1</v>
      </c>
      <c r="G371">
        <v>1</v>
      </c>
      <c r="H371">
        <v>1</v>
      </c>
      <c r="I371" t="s">
        <v>1016</v>
      </c>
      <c r="J371" t="s">
        <v>3</v>
      </c>
      <c r="K371" t="s">
        <v>1017</v>
      </c>
      <c r="L371">
        <v>1369</v>
      </c>
      <c r="N371">
        <v>1013</v>
      </c>
      <c r="O371" t="s">
        <v>696</v>
      </c>
      <c r="P371" t="s">
        <v>696</v>
      </c>
      <c r="Q371">
        <v>1</v>
      </c>
      <c r="W371">
        <v>0</v>
      </c>
      <c r="X371">
        <v>-1593017532</v>
      </c>
      <c r="Y371">
        <f t="shared" si="152"/>
        <v>41.49</v>
      </c>
      <c r="AA371">
        <v>0</v>
      </c>
      <c r="AB371">
        <v>0</v>
      </c>
      <c r="AC371">
        <v>0</v>
      </c>
      <c r="AD371">
        <v>8.3800000000000008</v>
      </c>
      <c r="AE371">
        <v>0</v>
      </c>
      <c r="AF371">
        <v>0</v>
      </c>
      <c r="AG371">
        <v>0</v>
      </c>
      <c r="AH371">
        <v>8.3800000000000008</v>
      </c>
      <c r="AI371">
        <v>1</v>
      </c>
      <c r="AJ371">
        <v>1</v>
      </c>
      <c r="AK371">
        <v>1</v>
      </c>
      <c r="AL371">
        <v>1</v>
      </c>
      <c r="AM371">
        <v>-2</v>
      </c>
      <c r="AN371">
        <v>0</v>
      </c>
      <c r="AO371">
        <v>1</v>
      </c>
      <c r="AP371">
        <v>0</v>
      </c>
      <c r="AQ371">
        <v>0</v>
      </c>
      <c r="AR371">
        <v>0</v>
      </c>
      <c r="AS371" t="s">
        <v>3</v>
      </c>
      <c r="AT371">
        <v>41.49</v>
      </c>
      <c r="AU371" t="s">
        <v>3</v>
      </c>
      <c r="AV371">
        <v>1</v>
      </c>
      <c r="AW371">
        <v>2</v>
      </c>
      <c r="AX371">
        <v>94802394</v>
      </c>
      <c r="AY371">
        <v>1</v>
      </c>
      <c r="AZ371">
        <v>0</v>
      </c>
      <c r="BA371">
        <v>371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U371">
        <f>ROUND(AT371*Source!I432*AH371*AL371,2)</f>
        <v>10.43</v>
      </c>
      <c r="CV371">
        <f>ROUND(Y371*Source!I432,9)</f>
        <v>1.2446999999999999</v>
      </c>
      <c r="CW371">
        <v>0</v>
      </c>
      <c r="CX371">
        <f>ROUND(Y371*Source!I432,9)</f>
        <v>1.2446999999999999</v>
      </c>
      <c r="CY371">
        <f>AD371</f>
        <v>8.3800000000000008</v>
      </c>
      <c r="CZ371">
        <f>AH371</f>
        <v>8.3800000000000008</v>
      </c>
      <c r="DA371">
        <f>AL371</f>
        <v>1</v>
      </c>
      <c r="DB371">
        <f t="shared" si="153"/>
        <v>347.69</v>
      </c>
      <c r="DC371">
        <f t="shared" si="154"/>
        <v>0</v>
      </c>
      <c r="DD371" t="s">
        <v>3</v>
      </c>
      <c r="DE371" t="s">
        <v>3</v>
      </c>
      <c r="DF371">
        <f t="shared" ref="DF371:DF388" si="163">ROUND(ROUND(AE371,2)*CX371,2)</f>
        <v>0</v>
      </c>
      <c r="DG371">
        <f>ROUND(ROUND(AF371,2)*CX371,2)</f>
        <v>0</v>
      </c>
      <c r="DH371">
        <f>ROUND(ROUND(AG371,2)*CX371,2)</f>
        <v>0</v>
      </c>
      <c r="DI371">
        <f t="shared" si="144"/>
        <v>10.43</v>
      </c>
      <c r="DJ371">
        <f>DI371</f>
        <v>10.43</v>
      </c>
      <c r="DK371">
        <v>0</v>
      </c>
      <c r="DL371" t="s">
        <v>3</v>
      </c>
      <c r="DM371">
        <v>0</v>
      </c>
      <c r="DN371" t="s">
        <v>3</v>
      </c>
      <c r="DO371">
        <v>0</v>
      </c>
    </row>
    <row r="372" spans="1:119" x14ac:dyDescent="0.2">
      <c r="A372">
        <f>ROW(Source!A432)</f>
        <v>432</v>
      </c>
      <c r="B372">
        <v>94798619</v>
      </c>
      <c r="C372">
        <v>94802393</v>
      </c>
      <c r="D372">
        <v>121548</v>
      </c>
      <c r="E372">
        <v>1</v>
      </c>
      <c r="F372">
        <v>1</v>
      </c>
      <c r="G372">
        <v>1</v>
      </c>
      <c r="H372">
        <v>1</v>
      </c>
      <c r="I372" t="s">
        <v>28</v>
      </c>
      <c r="J372" t="s">
        <v>3</v>
      </c>
      <c r="K372" t="s">
        <v>705</v>
      </c>
      <c r="L372">
        <v>608254</v>
      </c>
      <c r="N372">
        <v>1013</v>
      </c>
      <c r="O372" t="s">
        <v>706</v>
      </c>
      <c r="P372" t="s">
        <v>706</v>
      </c>
      <c r="Q372">
        <v>1</v>
      </c>
      <c r="W372">
        <v>0</v>
      </c>
      <c r="X372">
        <v>-185737400</v>
      </c>
      <c r="Y372">
        <f t="shared" si="152"/>
        <v>25.4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1</v>
      </c>
      <c r="AJ372">
        <v>1</v>
      </c>
      <c r="AK372">
        <v>1</v>
      </c>
      <c r="AL372">
        <v>1</v>
      </c>
      <c r="AM372">
        <v>-2</v>
      </c>
      <c r="AN372">
        <v>0</v>
      </c>
      <c r="AO372">
        <v>1</v>
      </c>
      <c r="AP372">
        <v>0</v>
      </c>
      <c r="AQ372">
        <v>0</v>
      </c>
      <c r="AR372">
        <v>0</v>
      </c>
      <c r="AS372" t="s">
        <v>3</v>
      </c>
      <c r="AT372">
        <v>25.4</v>
      </c>
      <c r="AU372" t="s">
        <v>3</v>
      </c>
      <c r="AV372">
        <v>2</v>
      </c>
      <c r="AW372">
        <v>2</v>
      </c>
      <c r="AX372">
        <v>94802395</v>
      </c>
      <c r="AY372">
        <v>1</v>
      </c>
      <c r="AZ372">
        <v>0</v>
      </c>
      <c r="BA372">
        <v>372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V372">
        <v>0</v>
      </c>
      <c r="CW372">
        <v>0</v>
      </c>
      <c r="CX372">
        <f>ROUND(Y372*Source!I432,9)</f>
        <v>0.76200000000000001</v>
      </c>
      <c r="CY372">
        <f>AD372</f>
        <v>0</v>
      </c>
      <c r="CZ372">
        <f>AH372</f>
        <v>0</v>
      </c>
      <c r="DA372">
        <f>AL372</f>
        <v>1</v>
      </c>
      <c r="DB372">
        <f t="shared" si="153"/>
        <v>0</v>
      </c>
      <c r="DC372">
        <f t="shared" si="154"/>
        <v>0</v>
      </c>
      <c r="DD372" t="s">
        <v>3</v>
      </c>
      <c r="DE372" t="s">
        <v>3</v>
      </c>
      <c r="DF372">
        <f t="shared" si="163"/>
        <v>0</v>
      </c>
      <c r="DG372">
        <f>ROUND(ROUND(AF372,2)*CX372,2)</f>
        <v>0</v>
      </c>
      <c r="DH372">
        <f>ROUND(ROUND(AG372,2)*CX372,2)</f>
        <v>0</v>
      </c>
      <c r="DI372">
        <f t="shared" si="144"/>
        <v>0</v>
      </c>
      <c r="DJ372">
        <f>DI372</f>
        <v>0</v>
      </c>
      <c r="DK372">
        <v>0</v>
      </c>
      <c r="DL372" t="s">
        <v>3</v>
      </c>
      <c r="DM372">
        <v>0</v>
      </c>
      <c r="DN372" t="s">
        <v>3</v>
      </c>
      <c r="DO372">
        <v>0</v>
      </c>
    </row>
    <row r="373" spans="1:119" x14ac:dyDescent="0.2">
      <c r="A373">
        <f>ROW(Source!A432)</f>
        <v>432</v>
      </c>
      <c r="B373">
        <v>94798619</v>
      </c>
      <c r="C373">
        <v>94802393</v>
      </c>
      <c r="D373">
        <v>37802515</v>
      </c>
      <c r="E373">
        <v>1</v>
      </c>
      <c r="F373">
        <v>1</v>
      </c>
      <c r="G373">
        <v>1</v>
      </c>
      <c r="H373">
        <v>2</v>
      </c>
      <c r="I373" t="s">
        <v>774</v>
      </c>
      <c r="J373" t="s">
        <v>775</v>
      </c>
      <c r="K373" t="s">
        <v>776</v>
      </c>
      <c r="L373">
        <v>1368</v>
      </c>
      <c r="N373">
        <v>1011</v>
      </c>
      <c r="O373" t="s">
        <v>700</v>
      </c>
      <c r="P373" t="s">
        <v>700</v>
      </c>
      <c r="Q373">
        <v>1</v>
      </c>
      <c r="W373">
        <v>0</v>
      </c>
      <c r="X373">
        <v>-674318163</v>
      </c>
      <c r="Y373">
        <f t="shared" si="152"/>
        <v>2.4900000000000002</v>
      </c>
      <c r="AA373">
        <v>0</v>
      </c>
      <c r="AB373">
        <v>2230.73</v>
      </c>
      <c r="AC373">
        <v>317.43</v>
      </c>
      <c r="AD373">
        <v>0</v>
      </c>
      <c r="AE373">
        <v>0</v>
      </c>
      <c r="AF373">
        <v>87.24</v>
      </c>
      <c r="AG373">
        <v>9</v>
      </c>
      <c r="AH373">
        <v>0</v>
      </c>
      <c r="AI373">
        <v>1</v>
      </c>
      <c r="AJ373">
        <v>25.57</v>
      </c>
      <c r="AK373">
        <v>35.270000000000003</v>
      </c>
      <c r="AL373">
        <v>1</v>
      </c>
      <c r="AM373">
        <v>2</v>
      </c>
      <c r="AN373">
        <v>0</v>
      </c>
      <c r="AO373">
        <v>1</v>
      </c>
      <c r="AP373">
        <v>0</v>
      </c>
      <c r="AQ373">
        <v>0</v>
      </c>
      <c r="AR373">
        <v>0</v>
      </c>
      <c r="AS373" t="s">
        <v>3</v>
      </c>
      <c r="AT373">
        <v>2.4900000000000002</v>
      </c>
      <c r="AU373" t="s">
        <v>3</v>
      </c>
      <c r="AV373">
        <v>0</v>
      </c>
      <c r="AW373">
        <v>2</v>
      </c>
      <c r="AX373">
        <v>94802396</v>
      </c>
      <c r="AY373">
        <v>1</v>
      </c>
      <c r="AZ373">
        <v>0</v>
      </c>
      <c r="BA373">
        <v>373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V373">
        <v>0</v>
      </c>
      <c r="CW373">
        <f>ROUND(Y373*Source!I432*DO373,9)</f>
        <v>0</v>
      </c>
      <c r="CX373">
        <f>ROUND(Y373*Source!I432,9)</f>
        <v>7.4700000000000003E-2</v>
      </c>
      <c r="CY373">
        <f t="shared" ref="CY373:CY388" si="164">AB373</f>
        <v>2230.73</v>
      </c>
      <c r="CZ373">
        <f t="shared" ref="CZ373:CZ388" si="165">AF373</f>
        <v>87.24</v>
      </c>
      <c r="DA373">
        <f t="shared" ref="DA373:DA388" si="166">AJ373</f>
        <v>25.57</v>
      </c>
      <c r="DB373">
        <f t="shared" si="153"/>
        <v>217.23</v>
      </c>
      <c r="DC373">
        <f t="shared" si="154"/>
        <v>22.41</v>
      </c>
      <c r="DD373" t="s">
        <v>3</v>
      </c>
      <c r="DE373" t="s">
        <v>3</v>
      </c>
      <c r="DF373">
        <f t="shared" si="163"/>
        <v>0</v>
      </c>
      <c r="DG373">
        <f t="shared" ref="DG373:DG388" si="167">ROUND(ROUND(AF373*AJ373,2)*CX373,2)</f>
        <v>166.64</v>
      </c>
      <c r="DH373">
        <f t="shared" ref="DH373:DH388" si="168">ROUND(ROUND(AG373*AK373,2)*CX373,2)</f>
        <v>23.71</v>
      </c>
      <c r="DI373">
        <f t="shared" si="144"/>
        <v>0</v>
      </c>
      <c r="DJ373">
        <f t="shared" ref="DJ373:DJ388" si="169">DG373</f>
        <v>166.64</v>
      </c>
      <c r="DK373">
        <v>0</v>
      </c>
      <c r="DL373" t="s">
        <v>3</v>
      </c>
      <c r="DM373">
        <v>0</v>
      </c>
      <c r="DN373" t="s">
        <v>3</v>
      </c>
      <c r="DO373">
        <v>0</v>
      </c>
    </row>
    <row r="374" spans="1:119" x14ac:dyDescent="0.2">
      <c r="A374">
        <f>ROW(Source!A432)</f>
        <v>432</v>
      </c>
      <c r="B374">
        <v>94798619</v>
      </c>
      <c r="C374">
        <v>94802393</v>
      </c>
      <c r="D374">
        <v>37802535</v>
      </c>
      <c r="E374">
        <v>1</v>
      </c>
      <c r="F374">
        <v>1</v>
      </c>
      <c r="G374">
        <v>1</v>
      </c>
      <c r="H374">
        <v>2</v>
      </c>
      <c r="I374" t="s">
        <v>1018</v>
      </c>
      <c r="J374" t="s">
        <v>1019</v>
      </c>
      <c r="K374" t="s">
        <v>1020</v>
      </c>
      <c r="L374">
        <v>1368</v>
      </c>
      <c r="N374">
        <v>1011</v>
      </c>
      <c r="O374" t="s">
        <v>700</v>
      </c>
      <c r="P374" t="s">
        <v>700</v>
      </c>
      <c r="Q374">
        <v>1</v>
      </c>
      <c r="W374">
        <v>0</v>
      </c>
      <c r="X374">
        <v>-29530348</v>
      </c>
      <c r="Y374">
        <f t="shared" si="152"/>
        <v>4.08</v>
      </c>
      <c r="AA374">
        <v>0</v>
      </c>
      <c r="AB374">
        <v>6.02</v>
      </c>
      <c r="AC374">
        <v>0</v>
      </c>
      <c r="AD374">
        <v>0</v>
      </c>
      <c r="AE374">
        <v>0</v>
      </c>
      <c r="AF374">
        <v>0.88</v>
      </c>
      <c r="AG374">
        <v>0</v>
      </c>
      <c r="AH374">
        <v>0</v>
      </c>
      <c r="AI374">
        <v>1</v>
      </c>
      <c r="AJ374">
        <v>6.84</v>
      </c>
      <c r="AK374">
        <v>35.270000000000003</v>
      </c>
      <c r="AL374">
        <v>1</v>
      </c>
      <c r="AM374">
        <v>2</v>
      </c>
      <c r="AN374">
        <v>0</v>
      </c>
      <c r="AO374">
        <v>1</v>
      </c>
      <c r="AP374">
        <v>0</v>
      </c>
      <c r="AQ374">
        <v>0</v>
      </c>
      <c r="AR374">
        <v>0</v>
      </c>
      <c r="AS374" t="s">
        <v>3</v>
      </c>
      <c r="AT374">
        <v>4.08</v>
      </c>
      <c r="AU374" t="s">
        <v>3</v>
      </c>
      <c r="AV374">
        <v>0</v>
      </c>
      <c r="AW374">
        <v>2</v>
      </c>
      <c r="AX374">
        <v>94802397</v>
      </c>
      <c r="AY374">
        <v>1</v>
      </c>
      <c r="AZ374">
        <v>0</v>
      </c>
      <c r="BA374">
        <v>374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V374">
        <v>0</v>
      </c>
      <c r="CW374">
        <f>ROUND(Y374*Source!I432*DO374,9)</f>
        <v>0</v>
      </c>
      <c r="CX374">
        <f>ROUND(Y374*Source!I432,9)</f>
        <v>0.12239999999999999</v>
      </c>
      <c r="CY374">
        <f t="shared" si="164"/>
        <v>6.02</v>
      </c>
      <c r="CZ374">
        <f t="shared" si="165"/>
        <v>0.88</v>
      </c>
      <c r="DA374">
        <f t="shared" si="166"/>
        <v>6.84</v>
      </c>
      <c r="DB374">
        <f t="shared" si="153"/>
        <v>3.59</v>
      </c>
      <c r="DC374">
        <f t="shared" si="154"/>
        <v>0</v>
      </c>
      <c r="DD374" t="s">
        <v>3</v>
      </c>
      <c r="DE374" t="s">
        <v>3</v>
      </c>
      <c r="DF374">
        <f t="shared" si="163"/>
        <v>0</v>
      </c>
      <c r="DG374">
        <f t="shared" si="167"/>
        <v>0.74</v>
      </c>
      <c r="DH374">
        <f t="shared" si="168"/>
        <v>0</v>
      </c>
      <c r="DI374">
        <f t="shared" si="144"/>
        <v>0</v>
      </c>
      <c r="DJ374">
        <f t="shared" si="169"/>
        <v>0.74</v>
      </c>
      <c r="DK374">
        <v>0</v>
      </c>
      <c r="DL374" t="s">
        <v>3</v>
      </c>
      <c r="DM374">
        <v>0</v>
      </c>
      <c r="DN374" t="s">
        <v>3</v>
      </c>
      <c r="DO374">
        <v>0</v>
      </c>
    </row>
    <row r="375" spans="1:119" x14ac:dyDescent="0.2">
      <c r="A375">
        <f>ROW(Source!A432)</f>
        <v>432</v>
      </c>
      <c r="B375">
        <v>94798619</v>
      </c>
      <c r="C375">
        <v>94802393</v>
      </c>
      <c r="D375">
        <v>37803016</v>
      </c>
      <c r="E375">
        <v>1</v>
      </c>
      <c r="F375">
        <v>1</v>
      </c>
      <c r="G375">
        <v>1</v>
      </c>
      <c r="H375">
        <v>2</v>
      </c>
      <c r="I375" t="s">
        <v>1010</v>
      </c>
      <c r="J375" t="s">
        <v>1011</v>
      </c>
      <c r="K375" t="s">
        <v>1012</v>
      </c>
      <c r="L375">
        <v>1368</v>
      </c>
      <c r="N375">
        <v>1011</v>
      </c>
      <c r="O375" t="s">
        <v>700</v>
      </c>
      <c r="P375" t="s">
        <v>700</v>
      </c>
      <c r="Q375">
        <v>1</v>
      </c>
      <c r="W375">
        <v>0</v>
      </c>
      <c r="X375">
        <v>-523335971</v>
      </c>
      <c r="Y375">
        <f t="shared" si="152"/>
        <v>2.31</v>
      </c>
      <c r="AA375">
        <v>0</v>
      </c>
      <c r="AB375">
        <v>1543.75</v>
      </c>
      <c r="AC375">
        <v>682.47</v>
      </c>
      <c r="AD375">
        <v>0</v>
      </c>
      <c r="AE375">
        <v>0</v>
      </c>
      <c r="AF375">
        <v>125.61</v>
      </c>
      <c r="AG375">
        <v>19.350000000000001</v>
      </c>
      <c r="AH375">
        <v>0</v>
      </c>
      <c r="AI375">
        <v>1</v>
      </c>
      <c r="AJ375">
        <v>12.29</v>
      </c>
      <c r="AK375">
        <v>35.270000000000003</v>
      </c>
      <c r="AL375">
        <v>1</v>
      </c>
      <c r="AM375">
        <v>2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3</v>
      </c>
      <c r="AT375">
        <v>2.31</v>
      </c>
      <c r="AU375" t="s">
        <v>3</v>
      </c>
      <c r="AV375">
        <v>0</v>
      </c>
      <c r="AW375">
        <v>2</v>
      </c>
      <c r="AX375">
        <v>94802398</v>
      </c>
      <c r="AY375">
        <v>1</v>
      </c>
      <c r="AZ375">
        <v>0</v>
      </c>
      <c r="BA375">
        <v>375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V375">
        <v>0</v>
      </c>
      <c r="CW375">
        <f>ROUND(Y375*Source!I432*DO375,9)</f>
        <v>0</v>
      </c>
      <c r="CX375">
        <f>ROUND(Y375*Source!I432,9)</f>
        <v>6.93E-2</v>
      </c>
      <c r="CY375">
        <f t="shared" si="164"/>
        <v>1543.75</v>
      </c>
      <c r="CZ375">
        <f t="shared" si="165"/>
        <v>125.61</v>
      </c>
      <c r="DA375">
        <f t="shared" si="166"/>
        <v>12.29</v>
      </c>
      <c r="DB375">
        <f t="shared" si="153"/>
        <v>290.16000000000003</v>
      </c>
      <c r="DC375">
        <f t="shared" si="154"/>
        <v>44.7</v>
      </c>
      <c r="DD375" t="s">
        <v>3</v>
      </c>
      <c r="DE375" t="s">
        <v>3</v>
      </c>
      <c r="DF375">
        <f t="shared" si="163"/>
        <v>0</v>
      </c>
      <c r="DG375">
        <f t="shared" si="167"/>
        <v>106.98</v>
      </c>
      <c r="DH375">
        <f t="shared" si="168"/>
        <v>47.3</v>
      </c>
      <c r="DI375">
        <f t="shared" si="144"/>
        <v>0</v>
      </c>
      <c r="DJ375">
        <f t="shared" si="169"/>
        <v>106.98</v>
      </c>
      <c r="DK375">
        <v>0</v>
      </c>
      <c r="DL375" t="s">
        <v>3</v>
      </c>
      <c r="DM375">
        <v>0</v>
      </c>
      <c r="DN375" t="s">
        <v>3</v>
      </c>
      <c r="DO375">
        <v>0</v>
      </c>
    </row>
    <row r="376" spans="1:119" x14ac:dyDescent="0.2">
      <c r="A376">
        <f>ROW(Source!A432)</f>
        <v>432</v>
      </c>
      <c r="B376">
        <v>94798619</v>
      </c>
      <c r="C376">
        <v>94802393</v>
      </c>
      <c r="D376">
        <v>37803048</v>
      </c>
      <c r="E376">
        <v>1</v>
      </c>
      <c r="F376">
        <v>1</v>
      </c>
      <c r="G376">
        <v>1</v>
      </c>
      <c r="H376">
        <v>2</v>
      </c>
      <c r="I376" t="s">
        <v>1021</v>
      </c>
      <c r="J376" t="s">
        <v>1022</v>
      </c>
      <c r="K376" t="s">
        <v>1023</v>
      </c>
      <c r="L376">
        <v>1368</v>
      </c>
      <c r="N376">
        <v>1011</v>
      </c>
      <c r="O376" t="s">
        <v>700</v>
      </c>
      <c r="P376" t="s">
        <v>700</v>
      </c>
      <c r="Q376">
        <v>1</v>
      </c>
      <c r="W376">
        <v>0</v>
      </c>
      <c r="X376">
        <v>1418156664</v>
      </c>
      <c r="Y376">
        <f t="shared" si="152"/>
        <v>2.93</v>
      </c>
      <c r="AA376">
        <v>0</v>
      </c>
      <c r="AB376">
        <v>2581.91</v>
      </c>
      <c r="AC376">
        <v>426.77</v>
      </c>
      <c r="AD376">
        <v>0</v>
      </c>
      <c r="AE376">
        <v>0</v>
      </c>
      <c r="AF376">
        <v>214.98</v>
      </c>
      <c r="AG376">
        <v>12.1</v>
      </c>
      <c r="AH376">
        <v>0</v>
      </c>
      <c r="AI376">
        <v>1</v>
      </c>
      <c r="AJ376">
        <v>12.01</v>
      </c>
      <c r="AK376">
        <v>35.270000000000003</v>
      </c>
      <c r="AL376">
        <v>1</v>
      </c>
      <c r="AM376">
        <v>2</v>
      </c>
      <c r="AN376">
        <v>0</v>
      </c>
      <c r="AO376">
        <v>1</v>
      </c>
      <c r="AP376">
        <v>0</v>
      </c>
      <c r="AQ376">
        <v>0</v>
      </c>
      <c r="AR376">
        <v>0</v>
      </c>
      <c r="AS376" t="s">
        <v>3</v>
      </c>
      <c r="AT376">
        <v>2.93</v>
      </c>
      <c r="AU376" t="s">
        <v>3</v>
      </c>
      <c r="AV376">
        <v>0</v>
      </c>
      <c r="AW376">
        <v>2</v>
      </c>
      <c r="AX376">
        <v>94802399</v>
      </c>
      <c r="AY376">
        <v>1</v>
      </c>
      <c r="AZ376">
        <v>0</v>
      </c>
      <c r="BA376">
        <v>376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V376">
        <v>0</v>
      </c>
      <c r="CW376">
        <f>ROUND(Y376*Source!I432*DO376,9)</f>
        <v>0</v>
      </c>
      <c r="CX376">
        <f>ROUND(Y376*Source!I432,9)</f>
        <v>8.7900000000000006E-2</v>
      </c>
      <c r="CY376">
        <f t="shared" si="164"/>
        <v>2581.91</v>
      </c>
      <c r="CZ376">
        <f t="shared" si="165"/>
        <v>214.98</v>
      </c>
      <c r="DA376">
        <f t="shared" si="166"/>
        <v>12.01</v>
      </c>
      <c r="DB376">
        <f t="shared" si="153"/>
        <v>629.89</v>
      </c>
      <c r="DC376">
        <f t="shared" si="154"/>
        <v>35.450000000000003</v>
      </c>
      <c r="DD376" t="s">
        <v>3</v>
      </c>
      <c r="DE376" t="s">
        <v>3</v>
      </c>
      <c r="DF376">
        <f t="shared" si="163"/>
        <v>0</v>
      </c>
      <c r="DG376">
        <f t="shared" si="167"/>
        <v>226.95</v>
      </c>
      <c r="DH376">
        <f t="shared" si="168"/>
        <v>37.51</v>
      </c>
      <c r="DI376">
        <f t="shared" si="144"/>
        <v>0</v>
      </c>
      <c r="DJ376">
        <f t="shared" si="169"/>
        <v>226.95</v>
      </c>
      <c r="DK376">
        <v>0</v>
      </c>
      <c r="DL376" t="s">
        <v>3</v>
      </c>
      <c r="DM376">
        <v>0</v>
      </c>
      <c r="DN376" t="s">
        <v>3</v>
      </c>
      <c r="DO376">
        <v>0</v>
      </c>
    </row>
    <row r="377" spans="1:119" x14ac:dyDescent="0.2">
      <c r="A377">
        <f>ROW(Source!A432)</f>
        <v>432</v>
      </c>
      <c r="B377">
        <v>94798619</v>
      </c>
      <c r="C377">
        <v>94802393</v>
      </c>
      <c r="D377">
        <v>37803071</v>
      </c>
      <c r="E377">
        <v>1</v>
      </c>
      <c r="F377">
        <v>1</v>
      </c>
      <c r="G377">
        <v>1</v>
      </c>
      <c r="H377">
        <v>2</v>
      </c>
      <c r="I377" t="s">
        <v>1024</v>
      </c>
      <c r="J377" t="s">
        <v>1025</v>
      </c>
      <c r="K377" t="s">
        <v>1026</v>
      </c>
      <c r="L377">
        <v>1368</v>
      </c>
      <c r="N377">
        <v>1011</v>
      </c>
      <c r="O377" t="s">
        <v>700</v>
      </c>
      <c r="P377" t="s">
        <v>700</v>
      </c>
      <c r="Q377">
        <v>1</v>
      </c>
      <c r="W377">
        <v>0</v>
      </c>
      <c r="X377">
        <v>-835599869</v>
      </c>
      <c r="Y377">
        <f t="shared" si="152"/>
        <v>4.62</v>
      </c>
      <c r="AA377">
        <v>0</v>
      </c>
      <c r="AB377">
        <v>2835.05</v>
      </c>
      <c r="AC377">
        <v>454.98</v>
      </c>
      <c r="AD377">
        <v>0</v>
      </c>
      <c r="AE377">
        <v>0</v>
      </c>
      <c r="AF377">
        <v>467.83</v>
      </c>
      <c r="AG377">
        <v>12.9</v>
      </c>
      <c r="AH377">
        <v>0</v>
      </c>
      <c r="AI377">
        <v>1</v>
      </c>
      <c r="AJ377">
        <v>6.06</v>
      </c>
      <c r="AK377">
        <v>35.270000000000003</v>
      </c>
      <c r="AL377">
        <v>1</v>
      </c>
      <c r="AM377">
        <v>2</v>
      </c>
      <c r="AN377">
        <v>0</v>
      </c>
      <c r="AO377">
        <v>1</v>
      </c>
      <c r="AP377">
        <v>0</v>
      </c>
      <c r="AQ377">
        <v>0</v>
      </c>
      <c r="AR377">
        <v>0</v>
      </c>
      <c r="AS377" t="s">
        <v>3</v>
      </c>
      <c r="AT377">
        <v>4.62</v>
      </c>
      <c r="AU377" t="s">
        <v>3</v>
      </c>
      <c r="AV377">
        <v>0</v>
      </c>
      <c r="AW377">
        <v>2</v>
      </c>
      <c r="AX377">
        <v>94802400</v>
      </c>
      <c r="AY377">
        <v>1</v>
      </c>
      <c r="AZ377">
        <v>0</v>
      </c>
      <c r="BA377">
        <v>377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V377">
        <v>0</v>
      </c>
      <c r="CW377">
        <f>ROUND(Y377*Source!I432*DO377,9)</f>
        <v>0</v>
      </c>
      <c r="CX377">
        <f>ROUND(Y377*Source!I432,9)</f>
        <v>0.1386</v>
      </c>
      <c r="CY377">
        <f t="shared" si="164"/>
        <v>2835.05</v>
      </c>
      <c r="CZ377">
        <f t="shared" si="165"/>
        <v>467.83</v>
      </c>
      <c r="DA377">
        <f t="shared" si="166"/>
        <v>6.06</v>
      </c>
      <c r="DB377">
        <f t="shared" si="153"/>
        <v>2161.37</v>
      </c>
      <c r="DC377">
        <f t="shared" si="154"/>
        <v>59.6</v>
      </c>
      <c r="DD377" t="s">
        <v>3</v>
      </c>
      <c r="DE377" t="s">
        <v>3</v>
      </c>
      <c r="DF377">
        <f t="shared" si="163"/>
        <v>0</v>
      </c>
      <c r="DG377">
        <f t="shared" si="167"/>
        <v>392.94</v>
      </c>
      <c r="DH377">
        <f t="shared" si="168"/>
        <v>63.06</v>
      </c>
      <c r="DI377">
        <f t="shared" si="144"/>
        <v>0</v>
      </c>
      <c r="DJ377">
        <f t="shared" si="169"/>
        <v>392.94</v>
      </c>
      <c r="DK377">
        <v>0</v>
      </c>
      <c r="DL377" t="s">
        <v>3</v>
      </c>
      <c r="DM377">
        <v>0</v>
      </c>
      <c r="DN377" t="s">
        <v>3</v>
      </c>
      <c r="DO377">
        <v>0</v>
      </c>
    </row>
    <row r="378" spans="1:119" x14ac:dyDescent="0.2">
      <c r="A378">
        <f>ROW(Source!A432)</f>
        <v>432</v>
      </c>
      <c r="B378">
        <v>94798619</v>
      </c>
      <c r="C378">
        <v>94802393</v>
      </c>
      <c r="D378">
        <v>37803111</v>
      </c>
      <c r="E378">
        <v>1</v>
      </c>
      <c r="F378">
        <v>1</v>
      </c>
      <c r="G378">
        <v>1</v>
      </c>
      <c r="H378">
        <v>2</v>
      </c>
      <c r="I378" t="s">
        <v>880</v>
      </c>
      <c r="J378" t="s">
        <v>881</v>
      </c>
      <c r="K378" t="s">
        <v>882</v>
      </c>
      <c r="L378">
        <v>1368</v>
      </c>
      <c r="N378">
        <v>1011</v>
      </c>
      <c r="O378" t="s">
        <v>700</v>
      </c>
      <c r="P378" t="s">
        <v>700</v>
      </c>
      <c r="Q378">
        <v>1</v>
      </c>
      <c r="W378">
        <v>0</v>
      </c>
      <c r="X378">
        <v>1797372022</v>
      </c>
      <c r="Y378">
        <f t="shared" si="152"/>
        <v>0.77</v>
      </c>
      <c r="AA378">
        <v>0</v>
      </c>
      <c r="AB378">
        <v>1562.18</v>
      </c>
      <c r="AC378">
        <v>365.04</v>
      </c>
      <c r="AD378">
        <v>0</v>
      </c>
      <c r="AE378">
        <v>0</v>
      </c>
      <c r="AF378">
        <v>119.25</v>
      </c>
      <c r="AG378">
        <v>10.35</v>
      </c>
      <c r="AH378">
        <v>0</v>
      </c>
      <c r="AI378">
        <v>1</v>
      </c>
      <c r="AJ378">
        <v>13.1</v>
      </c>
      <c r="AK378">
        <v>35.270000000000003</v>
      </c>
      <c r="AL378">
        <v>1</v>
      </c>
      <c r="AM378">
        <v>2</v>
      </c>
      <c r="AN378">
        <v>0</v>
      </c>
      <c r="AO378">
        <v>1</v>
      </c>
      <c r="AP378">
        <v>0</v>
      </c>
      <c r="AQ378">
        <v>0</v>
      </c>
      <c r="AR378">
        <v>0</v>
      </c>
      <c r="AS378" t="s">
        <v>3</v>
      </c>
      <c r="AT378">
        <v>0.77</v>
      </c>
      <c r="AU378" t="s">
        <v>3</v>
      </c>
      <c r="AV378">
        <v>0</v>
      </c>
      <c r="AW378">
        <v>2</v>
      </c>
      <c r="AX378">
        <v>94802401</v>
      </c>
      <c r="AY378">
        <v>1</v>
      </c>
      <c r="AZ378">
        <v>0</v>
      </c>
      <c r="BA378">
        <v>378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V378">
        <v>0</v>
      </c>
      <c r="CW378">
        <f>ROUND(Y378*Source!I432*DO378,9)</f>
        <v>0</v>
      </c>
      <c r="CX378">
        <f>ROUND(Y378*Source!I432,9)</f>
        <v>2.3099999999999999E-2</v>
      </c>
      <c r="CY378">
        <f t="shared" si="164"/>
        <v>1562.18</v>
      </c>
      <c r="CZ378">
        <f t="shared" si="165"/>
        <v>119.25</v>
      </c>
      <c r="DA378">
        <f t="shared" si="166"/>
        <v>13.1</v>
      </c>
      <c r="DB378">
        <f t="shared" si="153"/>
        <v>91.82</v>
      </c>
      <c r="DC378">
        <f t="shared" si="154"/>
        <v>7.97</v>
      </c>
      <c r="DD378" t="s">
        <v>3</v>
      </c>
      <c r="DE378" t="s">
        <v>3</v>
      </c>
      <c r="DF378">
        <f t="shared" si="163"/>
        <v>0</v>
      </c>
      <c r="DG378">
        <f t="shared" si="167"/>
        <v>36.090000000000003</v>
      </c>
      <c r="DH378">
        <f t="shared" si="168"/>
        <v>8.43</v>
      </c>
      <c r="DI378">
        <f t="shared" si="144"/>
        <v>0</v>
      </c>
      <c r="DJ378">
        <f t="shared" si="169"/>
        <v>36.090000000000003</v>
      </c>
      <c r="DK378">
        <v>0</v>
      </c>
      <c r="DL378" t="s">
        <v>3</v>
      </c>
      <c r="DM378">
        <v>0</v>
      </c>
      <c r="DN378" t="s">
        <v>3</v>
      </c>
      <c r="DO378">
        <v>0</v>
      </c>
    </row>
    <row r="379" spans="1:119" x14ac:dyDescent="0.2">
      <c r="A379">
        <f>ROW(Source!A432)</f>
        <v>432</v>
      </c>
      <c r="B379">
        <v>94798619</v>
      </c>
      <c r="C379">
        <v>94802393</v>
      </c>
      <c r="D379">
        <v>37803385</v>
      </c>
      <c r="E379">
        <v>1</v>
      </c>
      <c r="F379">
        <v>1</v>
      </c>
      <c r="G379">
        <v>1</v>
      </c>
      <c r="H379">
        <v>2</v>
      </c>
      <c r="I379" t="s">
        <v>1027</v>
      </c>
      <c r="J379" t="s">
        <v>1028</v>
      </c>
      <c r="K379" t="s">
        <v>1029</v>
      </c>
      <c r="L379">
        <v>1368</v>
      </c>
      <c r="N379">
        <v>1011</v>
      </c>
      <c r="O379" t="s">
        <v>700</v>
      </c>
      <c r="P379" t="s">
        <v>700</v>
      </c>
      <c r="Q379">
        <v>1</v>
      </c>
      <c r="W379">
        <v>0</v>
      </c>
      <c r="X379">
        <v>-1254885203</v>
      </c>
      <c r="Y379">
        <f t="shared" si="152"/>
        <v>2.2200000000000002</v>
      </c>
      <c r="AA379">
        <v>0</v>
      </c>
      <c r="AB379">
        <v>17.850000000000001</v>
      </c>
      <c r="AC379">
        <v>0</v>
      </c>
      <c r="AD379">
        <v>0</v>
      </c>
      <c r="AE379">
        <v>0</v>
      </c>
      <c r="AF379">
        <v>3.88</v>
      </c>
      <c r="AG379">
        <v>0</v>
      </c>
      <c r="AH379">
        <v>0</v>
      </c>
      <c r="AI379">
        <v>1</v>
      </c>
      <c r="AJ379">
        <v>4.5999999999999996</v>
      </c>
      <c r="AK379">
        <v>35.270000000000003</v>
      </c>
      <c r="AL379">
        <v>1</v>
      </c>
      <c r="AM379">
        <v>2</v>
      </c>
      <c r="AN379">
        <v>0</v>
      </c>
      <c r="AO379">
        <v>1</v>
      </c>
      <c r="AP379">
        <v>0</v>
      </c>
      <c r="AQ379">
        <v>0</v>
      </c>
      <c r="AR379">
        <v>0</v>
      </c>
      <c r="AS379" t="s">
        <v>3</v>
      </c>
      <c r="AT379">
        <v>2.2200000000000002</v>
      </c>
      <c r="AU379" t="s">
        <v>3</v>
      </c>
      <c r="AV379">
        <v>0</v>
      </c>
      <c r="AW379">
        <v>2</v>
      </c>
      <c r="AX379">
        <v>94802402</v>
      </c>
      <c r="AY379">
        <v>1</v>
      </c>
      <c r="AZ379">
        <v>0</v>
      </c>
      <c r="BA379">
        <v>379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V379">
        <v>0</v>
      </c>
      <c r="CW379">
        <f>ROUND(Y379*Source!I432*DO379,9)</f>
        <v>0</v>
      </c>
      <c r="CX379">
        <f>ROUND(Y379*Source!I432,9)</f>
        <v>6.6600000000000006E-2</v>
      </c>
      <c r="CY379">
        <f t="shared" si="164"/>
        <v>17.850000000000001</v>
      </c>
      <c r="CZ379">
        <f t="shared" si="165"/>
        <v>3.88</v>
      </c>
      <c r="DA379">
        <f t="shared" si="166"/>
        <v>4.5999999999999996</v>
      </c>
      <c r="DB379">
        <f t="shared" si="153"/>
        <v>8.61</v>
      </c>
      <c r="DC379">
        <f t="shared" si="154"/>
        <v>0</v>
      </c>
      <c r="DD379" t="s">
        <v>3</v>
      </c>
      <c r="DE379" t="s">
        <v>3</v>
      </c>
      <c r="DF379">
        <f t="shared" si="163"/>
        <v>0</v>
      </c>
      <c r="DG379">
        <f t="shared" si="167"/>
        <v>1.19</v>
      </c>
      <c r="DH379">
        <f t="shared" si="168"/>
        <v>0</v>
      </c>
      <c r="DI379">
        <f t="shared" si="144"/>
        <v>0</v>
      </c>
      <c r="DJ379">
        <f t="shared" si="169"/>
        <v>1.19</v>
      </c>
      <c r="DK379">
        <v>0</v>
      </c>
      <c r="DL379" t="s">
        <v>3</v>
      </c>
      <c r="DM379">
        <v>0</v>
      </c>
      <c r="DN379" t="s">
        <v>3</v>
      </c>
      <c r="DO379">
        <v>0</v>
      </c>
    </row>
    <row r="380" spans="1:119" x14ac:dyDescent="0.2">
      <c r="A380">
        <f>ROW(Source!A432)</f>
        <v>432</v>
      </c>
      <c r="B380">
        <v>94798619</v>
      </c>
      <c r="C380">
        <v>94802393</v>
      </c>
      <c r="D380">
        <v>37804072</v>
      </c>
      <c r="E380">
        <v>1</v>
      </c>
      <c r="F380">
        <v>1</v>
      </c>
      <c r="G380">
        <v>1</v>
      </c>
      <c r="H380">
        <v>2</v>
      </c>
      <c r="I380" t="s">
        <v>1030</v>
      </c>
      <c r="J380" t="s">
        <v>1031</v>
      </c>
      <c r="K380" t="s">
        <v>1032</v>
      </c>
      <c r="L380">
        <v>1368</v>
      </c>
      <c r="N380">
        <v>1011</v>
      </c>
      <c r="O380" t="s">
        <v>700</v>
      </c>
      <c r="P380" t="s">
        <v>700</v>
      </c>
      <c r="Q380">
        <v>1</v>
      </c>
      <c r="W380">
        <v>0</v>
      </c>
      <c r="X380">
        <v>1822775421</v>
      </c>
      <c r="Y380">
        <f t="shared" si="152"/>
        <v>0.05</v>
      </c>
      <c r="AA380">
        <v>0</v>
      </c>
      <c r="AB380">
        <v>13.42</v>
      </c>
      <c r="AC380">
        <v>0</v>
      </c>
      <c r="AD380">
        <v>0</v>
      </c>
      <c r="AE380">
        <v>0</v>
      </c>
      <c r="AF380">
        <v>1.73</v>
      </c>
      <c r="AG380">
        <v>0</v>
      </c>
      <c r="AH380">
        <v>0</v>
      </c>
      <c r="AI380">
        <v>1</v>
      </c>
      <c r="AJ380">
        <v>7.76</v>
      </c>
      <c r="AK380">
        <v>35.270000000000003</v>
      </c>
      <c r="AL380">
        <v>1</v>
      </c>
      <c r="AM380">
        <v>2</v>
      </c>
      <c r="AN380">
        <v>0</v>
      </c>
      <c r="AO380">
        <v>1</v>
      </c>
      <c r="AP380">
        <v>0</v>
      </c>
      <c r="AQ380">
        <v>0</v>
      </c>
      <c r="AR380">
        <v>0</v>
      </c>
      <c r="AS380" t="s">
        <v>3</v>
      </c>
      <c r="AT380">
        <v>0.05</v>
      </c>
      <c r="AU380" t="s">
        <v>3</v>
      </c>
      <c r="AV380">
        <v>0</v>
      </c>
      <c r="AW380">
        <v>2</v>
      </c>
      <c r="AX380">
        <v>94802403</v>
      </c>
      <c r="AY380">
        <v>1</v>
      </c>
      <c r="AZ380">
        <v>0</v>
      </c>
      <c r="BA380">
        <v>380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V380">
        <v>0</v>
      </c>
      <c r="CW380">
        <f>ROUND(Y380*Source!I432*DO380,9)</f>
        <v>0</v>
      </c>
      <c r="CX380">
        <f>ROUND(Y380*Source!I432,9)</f>
        <v>1.5E-3</v>
      </c>
      <c r="CY380">
        <f t="shared" si="164"/>
        <v>13.42</v>
      </c>
      <c r="CZ380">
        <f t="shared" si="165"/>
        <v>1.73</v>
      </c>
      <c r="DA380">
        <f t="shared" si="166"/>
        <v>7.76</v>
      </c>
      <c r="DB380">
        <f t="shared" si="153"/>
        <v>0.09</v>
      </c>
      <c r="DC380">
        <f t="shared" si="154"/>
        <v>0</v>
      </c>
      <c r="DD380" t="s">
        <v>3</v>
      </c>
      <c r="DE380" t="s">
        <v>3</v>
      </c>
      <c r="DF380">
        <f t="shared" si="163"/>
        <v>0</v>
      </c>
      <c r="DG380">
        <f t="shared" si="167"/>
        <v>0.02</v>
      </c>
      <c r="DH380">
        <f t="shared" si="168"/>
        <v>0</v>
      </c>
      <c r="DI380">
        <f t="shared" si="144"/>
        <v>0</v>
      </c>
      <c r="DJ380">
        <f t="shared" si="169"/>
        <v>0.02</v>
      </c>
      <c r="DK380">
        <v>0</v>
      </c>
      <c r="DL380" t="s">
        <v>3</v>
      </c>
      <c r="DM380">
        <v>0</v>
      </c>
      <c r="DN380" t="s">
        <v>3</v>
      </c>
      <c r="DO380">
        <v>0</v>
      </c>
    </row>
    <row r="381" spans="1:119" x14ac:dyDescent="0.2">
      <c r="A381">
        <f>ROW(Source!A432)</f>
        <v>432</v>
      </c>
      <c r="B381">
        <v>94798619</v>
      </c>
      <c r="C381">
        <v>94802393</v>
      </c>
      <c r="D381">
        <v>37804095</v>
      </c>
      <c r="E381">
        <v>1</v>
      </c>
      <c r="F381">
        <v>1</v>
      </c>
      <c r="G381">
        <v>1</v>
      </c>
      <c r="H381">
        <v>2</v>
      </c>
      <c r="I381" t="s">
        <v>766</v>
      </c>
      <c r="J381" t="s">
        <v>767</v>
      </c>
      <c r="K381" t="s">
        <v>768</v>
      </c>
      <c r="L381">
        <v>1368</v>
      </c>
      <c r="N381">
        <v>1011</v>
      </c>
      <c r="O381" t="s">
        <v>700</v>
      </c>
      <c r="P381" t="s">
        <v>700</v>
      </c>
      <c r="Q381">
        <v>1</v>
      </c>
      <c r="W381">
        <v>0</v>
      </c>
      <c r="X381">
        <v>1159152410</v>
      </c>
      <c r="Y381">
        <f t="shared" si="152"/>
        <v>1.07</v>
      </c>
      <c r="AA381">
        <v>0</v>
      </c>
      <c r="AB381">
        <v>8.8699999999999992</v>
      </c>
      <c r="AC381">
        <v>0</v>
      </c>
      <c r="AD381">
        <v>0</v>
      </c>
      <c r="AE381">
        <v>0</v>
      </c>
      <c r="AF381">
        <v>1.69</v>
      </c>
      <c r="AG381">
        <v>0</v>
      </c>
      <c r="AH381">
        <v>0</v>
      </c>
      <c r="AI381">
        <v>1</v>
      </c>
      <c r="AJ381">
        <v>5.25</v>
      </c>
      <c r="AK381">
        <v>35.270000000000003</v>
      </c>
      <c r="AL381">
        <v>1</v>
      </c>
      <c r="AM381">
        <v>2</v>
      </c>
      <c r="AN381">
        <v>0</v>
      </c>
      <c r="AO381">
        <v>1</v>
      </c>
      <c r="AP381">
        <v>0</v>
      </c>
      <c r="AQ381">
        <v>0</v>
      </c>
      <c r="AR381">
        <v>0</v>
      </c>
      <c r="AS381" t="s">
        <v>3</v>
      </c>
      <c r="AT381">
        <v>1.07</v>
      </c>
      <c r="AU381" t="s">
        <v>3</v>
      </c>
      <c r="AV381">
        <v>0</v>
      </c>
      <c r="AW381">
        <v>2</v>
      </c>
      <c r="AX381">
        <v>94802404</v>
      </c>
      <c r="AY381">
        <v>1</v>
      </c>
      <c r="AZ381">
        <v>0</v>
      </c>
      <c r="BA381">
        <v>381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V381">
        <v>0</v>
      </c>
      <c r="CW381">
        <f>ROUND(Y381*Source!I432*DO381,9)</f>
        <v>0</v>
      </c>
      <c r="CX381">
        <f>ROUND(Y381*Source!I432,9)</f>
        <v>3.2099999999999997E-2</v>
      </c>
      <c r="CY381">
        <f t="shared" si="164"/>
        <v>8.8699999999999992</v>
      </c>
      <c r="CZ381">
        <f t="shared" si="165"/>
        <v>1.69</v>
      </c>
      <c r="DA381">
        <f t="shared" si="166"/>
        <v>5.25</v>
      </c>
      <c r="DB381">
        <f t="shared" si="153"/>
        <v>1.81</v>
      </c>
      <c r="DC381">
        <f t="shared" si="154"/>
        <v>0</v>
      </c>
      <c r="DD381" t="s">
        <v>3</v>
      </c>
      <c r="DE381" t="s">
        <v>3</v>
      </c>
      <c r="DF381">
        <f t="shared" si="163"/>
        <v>0</v>
      </c>
      <c r="DG381">
        <f t="shared" si="167"/>
        <v>0.28000000000000003</v>
      </c>
      <c r="DH381">
        <f t="shared" si="168"/>
        <v>0</v>
      </c>
      <c r="DI381">
        <f t="shared" si="144"/>
        <v>0</v>
      </c>
      <c r="DJ381">
        <f t="shared" si="169"/>
        <v>0.28000000000000003</v>
      </c>
      <c r="DK381">
        <v>0</v>
      </c>
      <c r="DL381" t="s">
        <v>3</v>
      </c>
      <c r="DM381">
        <v>0</v>
      </c>
      <c r="DN381" t="s">
        <v>3</v>
      </c>
      <c r="DO381">
        <v>0</v>
      </c>
    </row>
    <row r="382" spans="1:119" x14ac:dyDescent="0.2">
      <c r="A382">
        <f>ROW(Source!A432)</f>
        <v>432</v>
      </c>
      <c r="B382">
        <v>94798619</v>
      </c>
      <c r="C382">
        <v>94802393</v>
      </c>
      <c r="D382">
        <v>37804342</v>
      </c>
      <c r="E382">
        <v>1</v>
      </c>
      <c r="F382">
        <v>1</v>
      </c>
      <c r="G382">
        <v>1</v>
      </c>
      <c r="H382">
        <v>2</v>
      </c>
      <c r="I382" t="s">
        <v>1033</v>
      </c>
      <c r="J382" t="s">
        <v>1034</v>
      </c>
      <c r="K382" t="s">
        <v>1035</v>
      </c>
      <c r="L382">
        <v>1368</v>
      </c>
      <c r="N382">
        <v>1011</v>
      </c>
      <c r="O382" t="s">
        <v>700</v>
      </c>
      <c r="P382" t="s">
        <v>700</v>
      </c>
      <c r="Q382">
        <v>1</v>
      </c>
      <c r="W382">
        <v>0</v>
      </c>
      <c r="X382">
        <v>-858108001</v>
      </c>
      <c r="Y382">
        <f t="shared" si="152"/>
        <v>5.87</v>
      </c>
      <c r="AA382">
        <v>0</v>
      </c>
      <c r="AB382">
        <v>3841.1</v>
      </c>
      <c r="AC382">
        <v>519.16999999999996</v>
      </c>
      <c r="AD382">
        <v>0</v>
      </c>
      <c r="AE382">
        <v>0</v>
      </c>
      <c r="AF382">
        <v>777.55</v>
      </c>
      <c r="AG382">
        <v>14.72</v>
      </c>
      <c r="AH382">
        <v>0</v>
      </c>
      <c r="AI382">
        <v>1</v>
      </c>
      <c r="AJ382">
        <v>4.9400000000000004</v>
      </c>
      <c r="AK382">
        <v>35.270000000000003</v>
      </c>
      <c r="AL382">
        <v>1</v>
      </c>
      <c r="AM382">
        <v>2</v>
      </c>
      <c r="AN382">
        <v>0</v>
      </c>
      <c r="AO382">
        <v>1</v>
      </c>
      <c r="AP382">
        <v>0</v>
      </c>
      <c r="AQ382">
        <v>0</v>
      </c>
      <c r="AR382">
        <v>0</v>
      </c>
      <c r="AS382" t="s">
        <v>3</v>
      </c>
      <c r="AT382">
        <v>5.87</v>
      </c>
      <c r="AU382" t="s">
        <v>3</v>
      </c>
      <c r="AV382">
        <v>0</v>
      </c>
      <c r="AW382">
        <v>2</v>
      </c>
      <c r="AX382">
        <v>94802405</v>
      </c>
      <c r="AY382">
        <v>1</v>
      </c>
      <c r="AZ382">
        <v>0</v>
      </c>
      <c r="BA382">
        <v>382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V382">
        <v>0</v>
      </c>
      <c r="CW382">
        <f>ROUND(Y382*Source!I432*DO382,9)</f>
        <v>0</v>
      </c>
      <c r="CX382">
        <f>ROUND(Y382*Source!I432,9)</f>
        <v>0.17610000000000001</v>
      </c>
      <c r="CY382">
        <f t="shared" si="164"/>
        <v>3841.1</v>
      </c>
      <c r="CZ382">
        <f t="shared" si="165"/>
        <v>777.55</v>
      </c>
      <c r="DA382">
        <f t="shared" si="166"/>
        <v>4.9400000000000004</v>
      </c>
      <c r="DB382">
        <f t="shared" si="153"/>
        <v>4564.22</v>
      </c>
      <c r="DC382">
        <f t="shared" si="154"/>
        <v>86.41</v>
      </c>
      <c r="DD382" t="s">
        <v>3</v>
      </c>
      <c r="DE382" t="s">
        <v>3</v>
      </c>
      <c r="DF382">
        <f t="shared" si="163"/>
        <v>0</v>
      </c>
      <c r="DG382">
        <f t="shared" si="167"/>
        <v>676.42</v>
      </c>
      <c r="DH382">
        <f t="shared" si="168"/>
        <v>91.43</v>
      </c>
      <c r="DI382">
        <f t="shared" si="144"/>
        <v>0</v>
      </c>
      <c r="DJ382">
        <f t="shared" si="169"/>
        <v>676.42</v>
      </c>
      <c r="DK382">
        <v>0</v>
      </c>
      <c r="DL382" t="s">
        <v>3</v>
      </c>
      <c r="DM382">
        <v>0</v>
      </c>
      <c r="DN382" t="s">
        <v>3</v>
      </c>
      <c r="DO382">
        <v>0</v>
      </c>
    </row>
    <row r="383" spans="1:119" x14ac:dyDescent="0.2">
      <c r="A383">
        <f>ROW(Source!A432)</f>
        <v>432</v>
      </c>
      <c r="B383">
        <v>94798619</v>
      </c>
      <c r="C383">
        <v>94802393</v>
      </c>
      <c r="D383">
        <v>37804343</v>
      </c>
      <c r="E383">
        <v>1</v>
      </c>
      <c r="F383">
        <v>1</v>
      </c>
      <c r="G383">
        <v>1</v>
      </c>
      <c r="H383">
        <v>2</v>
      </c>
      <c r="I383" t="s">
        <v>1036</v>
      </c>
      <c r="J383" t="s">
        <v>1037</v>
      </c>
      <c r="K383" t="s">
        <v>1038</v>
      </c>
      <c r="L383">
        <v>1368</v>
      </c>
      <c r="N383">
        <v>1011</v>
      </c>
      <c r="O383" t="s">
        <v>700</v>
      </c>
      <c r="P383" t="s">
        <v>700</v>
      </c>
      <c r="Q383">
        <v>1</v>
      </c>
      <c r="W383">
        <v>0</v>
      </c>
      <c r="X383">
        <v>-1506318084</v>
      </c>
      <c r="Y383">
        <f t="shared" si="152"/>
        <v>1.85</v>
      </c>
      <c r="AA383">
        <v>0</v>
      </c>
      <c r="AB383">
        <v>144</v>
      </c>
      <c r="AC383">
        <v>0</v>
      </c>
      <c r="AD383">
        <v>0</v>
      </c>
      <c r="AE383">
        <v>0</v>
      </c>
      <c r="AF383">
        <v>21.46</v>
      </c>
      <c r="AG383">
        <v>0</v>
      </c>
      <c r="AH383">
        <v>0</v>
      </c>
      <c r="AI383">
        <v>1</v>
      </c>
      <c r="AJ383">
        <v>6.71</v>
      </c>
      <c r="AK383">
        <v>35.270000000000003</v>
      </c>
      <c r="AL383">
        <v>1</v>
      </c>
      <c r="AM383">
        <v>2</v>
      </c>
      <c r="AN383">
        <v>0</v>
      </c>
      <c r="AO383">
        <v>1</v>
      </c>
      <c r="AP383">
        <v>0</v>
      </c>
      <c r="AQ383">
        <v>0</v>
      </c>
      <c r="AR383">
        <v>0</v>
      </c>
      <c r="AS383" t="s">
        <v>3</v>
      </c>
      <c r="AT383">
        <v>1.85</v>
      </c>
      <c r="AU383" t="s">
        <v>3</v>
      </c>
      <c r="AV383">
        <v>0</v>
      </c>
      <c r="AW383">
        <v>2</v>
      </c>
      <c r="AX383">
        <v>94802406</v>
      </c>
      <c r="AY383">
        <v>1</v>
      </c>
      <c r="AZ383">
        <v>0</v>
      </c>
      <c r="BA383">
        <v>383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V383">
        <v>0</v>
      </c>
      <c r="CW383">
        <f>ROUND(Y383*Source!I432*DO383,9)</f>
        <v>0</v>
      </c>
      <c r="CX383">
        <f>ROUND(Y383*Source!I432,9)</f>
        <v>5.5500000000000001E-2</v>
      </c>
      <c r="CY383">
        <f t="shared" si="164"/>
        <v>144</v>
      </c>
      <c r="CZ383">
        <f t="shared" si="165"/>
        <v>21.46</v>
      </c>
      <c r="DA383">
        <f t="shared" si="166"/>
        <v>6.71</v>
      </c>
      <c r="DB383">
        <f t="shared" si="153"/>
        <v>39.700000000000003</v>
      </c>
      <c r="DC383">
        <f t="shared" si="154"/>
        <v>0</v>
      </c>
      <c r="DD383" t="s">
        <v>3</v>
      </c>
      <c r="DE383" t="s">
        <v>3</v>
      </c>
      <c r="DF383">
        <f t="shared" si="163"/>
        <v>0</v>
      </c>
      <c r="DG383">
        <f t="shared" si="167"/>
        <v>7.99</v>
      </c>
      <c r="DH383">
        <f t="shared" si="168"/>
        <v>0</v>
      </c>
      <c r="DI383">
        <f t="shared" si="144"/>
        <v>0</v>
      </c>
      <c r="DJ383">
        <f t="shared" si="169"/>
        <v>7.99</v>
      </c>
      <c r="DK383">
        <v>0</v>
      </c>
      <c r="DL383" t="s">
        <v>3</v>
      </c>
      <c r="DM383">
        <v>0</v>
      </c>
      <c r="DN383" t="s">
        <v>3</v>
      </c>
      <c r="DO383">
        <v>0</v>
      </c>
    </row>
    <row r="384" spans="1:119" x14ac:dyDescent="0.2">
      <c r="A384">
        <f>ROW(Source!A432)</f>
        <v>432</v>
      </c>
      <c r="B384">
        <v>94798619</v>
      </c>
      <c r="C384">
        <v>94802393</v>
      </c>
      <c r="D384">
        <v>37804346</v>
      </c>
      <c r="E384">
        <v>1</v>
      </c>
      <c r="F384">
        <v>1</v>
      </c>
      <c r="G384">
        <v>1</v>
      </c>
      <c r="H384">
        <v>2</v>
      </c>
      <c r="I384" t="s">
        <v>1039</v>
      </c>
      <c r="J384" t="s">
        <v>1040</v>
      </c>
      <c r="K384" t="s">
        <v>1041</v>
      </c>
      <c r="L384">
        <v>1368</v>
      </c>
      <c r="N384">
        <v>1011</v>
      </c>
      <c r="O384" t="s">
        <v>700</v>
      </c>
      <c r="P384" t="s">
        <v>700</v>
      </c>
      <c r="Q384">
        <v>1</v>
      </c>
      <c r="W384">
        <v>0</v>
      </c>
      <c r="X384">
        <v>-1838412179</v>
      </c>
      <c r="Y384">
        <f t="shared" si="152"/>
        <v>2.33</v>
      </c>
      <c r="AA384">
        <v>0</v>
      </c>
      <c r="AB384">
        <v>1900.67</v>
      </c>
      <c r="AC384">
        <v>426.77</v>
      </c>
      <c r="AD384">
        <v>0</v>
      </c>
      <c r="AE384">
        <v>0</v>
      </c>
      <c r="AF384">
        <v>526.5</v>
      </c>
      <c r="AG384">
        <v>12.1</v>
      </c>
      <c r="AH384">
        <v>0</v>
      </c>
      <c r="AI384">
        <v>1</v>
      </c>
      <c r="AJ384">
        <v>3.61</v>
      </c>
      <c r="AK384">
        <v>35.270000000000003</v>
      </c>
      <c r="AL384">
        <v>1</v>
      </c>
      <c r="AM384">
        <v>2</v>
      </c>
      <c r="AN384">
        <v>0</v>
      </c>
      <c r="AO384">
        <v>1</v>
      </c>
      <c r="AP384">
        <v>0</v>
      </c>
      <c r="AQ384">
        <v>0</v>
      </c>
      <c r="AR384">
        <v>0</v>
      </c>
      <c r="AS384" t="s">
        <v>3</v>
      </c>
      <c r="AT384">
        <v>2.33</v>
      </c>
      <c r="AU384" t="s">
        <v>3</v>
      </c>
      <c r="AV384">
        <v>0</v>
      </c>
      <c r="AW384">
        <v>2</v>
      </c>
      <c r="AX384">
        <v>94802407</v>
      </c>
      <c r="AY384">
        <v>1</v>
      </c>
      <c r="AZ384">
        <v>0</v>
      </c>
      <c r="BA384">
        <v>384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V384">
        <v>0</v>
      </c>
      <c r="CW384">
        <f>ROUND(Y384*Source!I432*DO384,9)</f>
        <v>0</v>
      </c>
      <c r="CX384">
        <f>ROUND(Y384*Source!I432,9)</f>
        <v>6.9900000000000004E-2</v>
      </c>
      <c r="CY384">
        <f t="shared" si="164"/>
        <v>1900.67</v>
      </c>
      <c r="CZ384">
        <f t="shared" si="165"/>
        <v>526.5</v>
      </c>
      <c r="DA384">
        <f t="shared" si="166"/>
        <v>3.61</v>
      </c>
      <c r="DB384">
        <f t="shared" si="153"/>
        <v>1226.75</v>
      </c>
      <c r="DC384">
        <f t="shared" si="154"/>
        <v>28.19</v>
      </c>
      <c r="DD384" t="s">
        <v>3</v>
      </c>
      <c r="DE384" t="s">
        <v>3</v>
      </c>
      <c r="DF384">
        <f t="shared" si="163"/>
        <v>0</v>
      </c>
      <c r="DG384">
        <f t="shared" si="167"/>
        <v>132.86000000000001</v>
      </c>
      <c r="DH384">
        <f t="shared" si="168"/>
        <v>29.83</v>
      </c>
      <c r="DI384">
        <f t="shared" si="144"/>
        <v>0</v>
      </c>
      <c r="DJ384">
        <f t="shared" si="169"/>
        <v>132.86000000000001</v>
      </c>
      <c r="DK384">
        <v>0</v>
      </c>
      <c r="DL384" t="s">
        <v>3</v>
      </c>
      <c r="DM384">
        <v>0</v>
      </c>
      <c r="DN384" t="s">
        <v>3</v>
      </c>
      <c r="DO384">
        <v>0</v>
      </c>
    </row>
    <row r="385" spans="1:119" x14ac:dyDescent="0.2">
      <c r="A385">
        <f>ROW(Source!A432)</f>
        <v>432</v>
      </c>
      <c r="B385">
        <v>94798619</v>
      </c>
      <c r="C385">
        <v>94802393</v>
      </c>
      <c r="D385">
        <v>37804368</v>
      </c>
      <c r="E385">
        <v>1</v>
      </c>
      <c r="F385">
        <v>1</v>
      </c>
      <c r="G385">
        <v>1</v>
      </c>
      <c r="H385">
        <v>2</v>
      </c>
      <c r="I385" t="s">
        <v>1042</v>
      </c>
      <c r="J385" t="s">
        <v>1043</v>
      </c>
      <c r="K385" t="s">
        <v>1044</v>
      </c>
      <c r="L385">
        <v>1368</v>
      </c>
      <c r="N385">
        <v>1011</v>
      </c>
      <c r="O385" t="s">
        <v>700</v>
      </c>
      <c r="P385" t="s">
        <v>700</v>
      </c>
      <c r="Q385">
        <v>1</v>
      </c>
      <c r="W385">
        <v>0</v>
      </c>
      <c r="X385">
        <v>1233998622</v>
      </c>
      <c r="Y385">
        <f t="shared" si="152"/>
        <v>1.77</v>
      </c>
      <c r="AA385">
        <v>0</v>
      </c>
      <c r="AB385">
        <v>1788.75</v>
      </c>
      <c r="AC385">
        <v>317.43</v>
      </c>
      <c r="AD385">
        <v>0</v>
      </c>
      <c r="AE385">
        <v>0</v>
      </c>
      <c r="AF385">
        <v>221.38</v>
      </c>
      <c r="AG385">
        <v>9</v>
      </c>
      <c r="AH385">
        <v>0</v>
      </c>
      <c r="AI385">
        <v>1</v>
      </c>
      <c r="AJ385">
        <v>8.08</v>
      </c>
      <c r="AK385">
        <v>35.270000000000003</v>
      </c>
      <c r="AL385">
        <v>1</v>
      </c>
      <c r="AM385">
        <v>2</v>
      </c>
      <c r="AN385">
        <v>0</v>
      </c>
      <c r="AO385">
        <v>1</v>
      </c>
      <c r="AP385">
        <v>0</v>
      </c>
      <c r="AQ385">
        <v>0</v>
      </c>
      <c r="AR385">
        <v>0</v>
      </c>
      <c r="AS385" t="s">
        <v>3</v>
      </c>
      <c r="AT385">
        <v>1.77</v>
      </c>
      <c r="AU385" t="s">
        <v>3</v>
      </c>
      <c r="AV385">
        <v>0</v>
      </c>
      <c r="AW385">
        <v>2</v>
      </c>
      <c r="AX385">
        <v>94802408</v>
      </c>
      <c r="AY385">
        <v>1</v>
      </c>
      <c r="AZ385">
        <v>0</v>
      </c>
      <c r="BA385">
        <v>385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V385">
        <v>0</v>
      </c>
      <c r="CW385">
        <f>ROUND(Y385*Source!I432*DO385,9)</f>
        <v>0</v>
      </c>
      <c r="CX385">
        <f>ROUND(Y385*Source!I432,9)</f>
        <v>5.3100000000000001E-2</v>
      </c>
      <c r="CY385">
        <f t="shared" si="164"/>
        <v>1788.75</v>
      </c>
      <c r="CZ385">
        <f t="shared" si="165"/>
        <v>221.38</v>
      </c>
      <c r="DA385">
        <f t="shared" si="166"/>
        <v>8.08</v>
      </c>
      <c r="DB385">
        <f t="shared" si="153"/>
        <v>391.84</v>
      </c>
      <c r="DC385">
        <f t="shared" si="154"/>
        <v>15.93</v>
      </c>
      <c r="DD385" t="s">
        <v>3</v>
      </c>
      <c r="DE385" t="s">
        <v>3</v>
      </c>
      <c r="DF385">
        <f t="shared" si="163"/>
        <v>0</v>
      </c>
      <c r="DG385">
        <f t="shared" si="167"/>
        <v>94.98</v>
      </c>
      <c r="DH385">
        <f t="shared" si="168"/>
        <v>16.86</v>
      </c>
      <c r="DI385">
        <f t="shared" ref="DI385:DI448" si="170">ROUND(ROUND(AH385,2)*CX385,2)</f>
        <v>0</v>
      </c>
      <c r="DJ385">
        <f t="shared" si="169"/>
        <v>94.98</v>
      </c>
      <c r="DK385">
        <v>0</v>
      </c>
      <c r="DL385" t="s">
        <v>3</v>
      </c>
      <c r="DM385">
        <v>0</v>
      </c>
      <c r="DN385" t="s">
        <v>3</v>
      </c>
      <c r="DO385">
        <v>0</v>
      </c>
    </row>
    <row r="386" spans="1:119" x14ac:dyDescent="0.2">
      <c r="A386">
        <f>ROW(Source!A432)</f>
        <v>432</v>
      </c>
      <c r="B386">
        <v>94798619</v>
      </c>
      <c r="C386">
        <v>94802393</v>
      </c>
      <c r="D386">
        <v>37804410</v>
      </c>
      <c r="E386">
        <v>1</v>
      </c>
      <c r="F386">
        <v>1</v>
      </c>
      <c r="G386">
        <v>1</v>
      </c>
      <c r="H386">
        <v>2</v>
      </c>
      <c r="I386" t="s">
        <v>1045</v>
      </c>
      <c r="J386" t="s">
        <v>1046</v>
      </c>
      <c r="K386" t="s">
        <v>1047</v>
      </c>
      <c r="L386">
        <v>1368</v>
      </c>
      <c r="N386">
        <v>1011</v>
      </c>
      <c r="O386" t="s">
        <v>700</v>
      </c>
      <c r="P386" t="s">
        <v>700</v>
      </c>
      <c r="Q386">
        <v>1</v>
      </c>
      <c r="W386">
        <v>0</v>
      </c>
      <c r="X386">
        <v>-489009791</v>
      </c>
      <c r="Y386">
        <f t="shared" si="152"/>
        <v>3.28</v>
      </c>
      <c r="AA386">
        <v>0</v>
      </c>
      <c r="AB386">
        <v>824.2</v>
      </c>
      <c r="AC386">
        <v>0</v>
      </c>
      <c r="AD386">
        <v>0</v>
      </c>
      <c r="AE386">
        <v>0</v>
      </c>
      <c r="AF386">
        <v>256.76</v>
      </c>
      <c r="AG386">
        <v>0</v>
      </c>
      <c r="AH386">
        <v>0</v>
      </c>
      <c r="AI386">
        <v>1</v>
      </c>
      <c r="AJ386">
        <v>3.21</v>
      </c>
      <c r="AK386">
        <v>35.270000000000003</v>
      </c>
      <c r="AL386">
        <v>1</v>
      </c>
      <c r="AM386">
        <v>2</v>
      </c>
      <c r="AN386">
        <v>0</v>
      </c>
      <c r="AO386">
        <v>1</v>
      </c>
      <c r="AP386">
        <v>0</v>
      </c>
      <c r="AQ386">
        <v>0</v>
      </c>
      <c r="AR386">
        <v>0</v>
      </c>
      <c r="AS386" t="s">
        <v>3</v>
      </c>
      <c r="AT386">
        <v>3.28</v>
      </c>
      <c r="AU386" t="s">
        <v>3</v>
      </c>
      <c r="AV386">
        <v>0</v>
      </c>
      <c r="AW386">
        <v>2</v>
      </c>
      <c r="AX386">
        <v>94802409</v>
      </c>
      <c r="AY386">
        <v>1</v>
      </c>
      <c r="AZ386">
        <v>0</v>
      </c>
      <c r="BA386">
        <v>386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V386">
        <v>0</v>
      </c>
      <c r="CW386">
        <f>ROUND(Y386*Source!I432*DO386,9)</f>
        <v>0</v>
      </c>
      <c r="CX386">
        <f>ROUND(Y386*Source!I432,9)</f>
        <v>9.8400000000000001E-2</v>
      </c>
      <c r="CY386">
        <f t="shared" si="164"/>
        <v>824.2</v>
      </c>
      <c r="CZ386">
        <f t="shared" si="165"/>
        <v>256.76</v>
      </c>
      <c r="DA386">
        <f t="shared" si="166"/>
        <v>3.21</v>
      </c>
      <c r="DB386">
        <f t="shared" si="153"/>
        <v>842.17</v>
      </c>
      <c r="DC386">
        <f t="shared" si="154"/>
        <v>0</v>
      </c>
      <c r="DD386" t="s">
        <v>3</v>
      </c>
      <c r="DE386" t="s">
        <v>3</v>
      </c>
      <c r="DF386">
        <f t="shared" si="163"/>
        <v>0</v>
      </c>
      <c r="DG386">
        <f t="shared" si="167"/>
        <v>81.099999999999994</v>
      </c>
      <c r="DH386">
        <f t="shared" si="168"/>
        <v>0</v>
      </c>
      <c r="DI386">
        <f t="shared" si="170"/>
        <v>0</v>
      </c>
      <c r="DJ386">
        <f t="shared" si="169"/>
        <v>81.099999999999994</v>
      </c>
      <c r="DK386">
        <v>0</v>
      </c>
      <c r="DL386" t="s">
        <v>3</v>
      </c>
      <c r="DM386">
        <v>0</v>
      </c>
      <c r="DN386" t="s">
        <v>3</v>
      </c>
      <c r="DO386">
        <v>0</v>
      </c>
    </row>
    <row r="387" spans="1:119" x14ac:dyDescent="0.2">
      <c r="A387">
        <f>ROW(Source!A432)</f>
        <v>432</v>
      </c>
      <c r="B387">
        <v>94798619</v>
      </c>
      <c r="C387">
        <v>94802393</v>
      </c>
      <c r="D387">
        <v>37804465</v>
      </c>
      <c r="E387">
        <v>1</v>
      </c>
      <c r="F387">
        <v>1</v>
      </c>
      <c r="G387">
        <v>1</v>
      </c>
      <c r="H387">
        <v>2</v>
      </c>
      <c r="I387" t="s">
        <v>1048</v>
      </c>
      <c r="J387" t="s">
        <v>1049</v>
      </c>
      <c r="K387" t="s">
        <v>1050</v>
      </c>
      <c r="L387">
        <v>1368</v>
      </c>
      <c r="N387">
        <v>1011</v>
      </c>
      <c r="O387" t="s">
        <v>700</v>
      </c>
      <c r="P387" t="s">
        <v>700</v>
      </c>
      <c r="Q387">
        <v>1</v>
      </c>
      <c r="W387">
        <v>0</v>
      </c>
      <c r="X387">
        <v>1713113695</v>
      </c>
      <c r="Y387">
        <f t="shared" si="152"/>
        <v>4.0999999999999996</v>
      </c>
      <c r="AA387">
        <v>0</v>
      </c>
      <c r="AB387">
        <v>1798.49</v>
      </c>
      <c r="AC387">
        <v>426.77</v>
      </c>
      <c r="AD387">
        <v>0</v>
      </c>
      <c r="AE387">
        <v>0</v>
      </c>
      <c r="AF387">
        <v>130.41999999999999</v>
      </c>
      <c r="AG387">
        <v>12.1</v>
      </c>
      <c r="AH387">
        <v>0</v>
      </c>
      <c r="AI387">
        <v>1</v>
      </c>
      <c r="AJ387">
        <v>13.79</v>
      </c>
      <c r="AK387">
        <v>35.270000000000003</v>
      </c>
      <c r="AL387">
        <v>1</v>
      </c>
      <c r="AM387">
        <v>2</v>
      </c>
      <c r="AN387">
        <v>0</v>
      </c>
      <c r="AO387">
        <v>1</v>
      </c>
      <c r="AP387">
        <v>0</v>
      </c>
      <c r="AQ387">
        <v>0</v>
      </c>
      <c r="AR387">
        <v>0</v>
      </c>
      <c r="AS387" t="s">
        <v>3</v>
      </c>
      <c r="AT387">
        <v>4.0999999999999996</v>
      </c>
      <c r="AU387" t="s">
        <v>3</v>
      </c>
      <c r="AV387">
        <v>0</v>
      </c>
      <c r="AW387">
        <v>2</v>
      </c>
      <c r="AX387">
        <v>94802410</v>
      </c>
      <c r="AY387">
        <v>1</v>
      </c>
      <c r="AZ387">
        <v>0</v>
      </c>
      <c r="BA387">
        <v>387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V387">
        <v>0</v>
      </c>
      <c r="CW387">
        <f>ROUND(Y387*Source!I432*DO387,9)</f>
        <v>0</v>
      </c>
      <c r="CX387">
        <f>ROUND(Y387*Source!I432,9)</f>
        <v>0.123</v>
      </c>
      <c r="CY387">
        <f t="shared" si="164"/>
        <v>1798.49</v>
      </c>
      <c r="CZ387">
        <f t="shared" si="165"/>
        <v>130.41999999999999</v>
      </c>
      <c r="DA387">
        <f t="shared" si="166"/>
        <v>13.79</v>
      </c>
      <c r="DB387">
        <f t="shared" si="153"/>
        <v>534.72</v>
      </c>
      <c r="DC387">
        <f t="shared" si="154"/>
        <v>49.61</v>
      </c>
      <c r="DD387" t="s">
        <v>3</v>
      </c>
      <c r="DE387" t="s">
        <v>3</v>
      </c>
      <c r="DF387">
        <f t="shared" si="163"/>
        <v>0</v>
      </c>
      <c r="DG387">
        <f t="shared" si="167"/>
        <v>221.21</v>
      </c>
      <c r="DH387">
        <f t="shared" si="168"/>
        <v>52.49</v>
      </c>
      <c r="DI387">
        <f t="shared" si="170"/>
        <v>0</v>
      </c>
      <c r="DJ387">
        <f t="shared" si="169"/>
        <v>221.21</v>
      </c>
      <c r="DK387">
        <v>0</v>
      </c>
      <c r="DL387" t="s">
        <v>3</v>
      </c>
      <c r="DM387">
        <v>0</v>
      </c>
      <c r="DN387" t="s">
        <v>3</v>
      </c>
      <c r="DO387">
        <v>0</v>
      </c>
    </row>
    <row r="388" spans="1:119" x14ac:dyDescent="0.2">
      <c r="A388">
        <f>ROW(Source!A432)</f>
        <v>432</v>
      </c>
      <c r="B388">
        <v>94798619</v>
      </c>
      <c r="C388">
        <v>94802393</v>
      </c>
      <c r="D388">
        <v>37804485</v>
      </c>
      <c r="E388">
        <v>1</v>
      </c>
      <c r="F388">
        <v>1</v>
      </c>
      <c r="G388">
        <v>1</v>
      </c>
      <c r="H388">
        <v>2</v>
      </c>
      <c r="I388" t="s">
        <v>1051</v>
      </c>
      <c r="J388" t="s">
        <v>1052</v>
      </c>
      <c r="K388" t="s">
        <v>1053</v>
      </c>
      <c r="L388">
        <v>1368</v>
      </c>
      <c r="N388">
        <v>1011</v>
      </c>
      <c r="O388" t="s">
        <v>700</v>
      </c>
      <c r="P388" t="s">
        <v>700</v>
      </c>
      <c r="Q388">
        <v>1</v>
      </c>
      <c r="W388">
        <v>0</v>
      </c>
      <c r="X388">
        <v>-1228136913</v>
      </c>
      <c r="Y388">
        <f t="shared" si="152"/>
        <v>0.02</v>
      </c>
      <c r="AA388">
        <v>0</v>
      </c>
      <c r="AB388">
        <v>1506.32</v>
      </c>
      <c r="AC388">
        <v>365.04</v>
      </c>
      <c r="AD388">
        <v>0</v>
      </c>
      <c r="AE388">
        <v>0</v>
      </c>
      <c r="AF388">
        <v>119.36</v>
      </c>
      <c r="AG388">
        <v>10.35</v>
      </c>
      <c r="AH388">
        <v>0</v>
      </c>
      <c r="AI388">
        <v>1</v>
      </c>
      <c r="AJ388">
        <v>12.62</v>
      </c>
      <c r="AK388">
        <v>35.270000000000003</v>
      </c>
      <c r="AL388">
        <v>1</v>
      </c>
      <c r="AM388">
        <v>2</v>
      </c>
      <c r="AN388">
        <v>0</v>
      </c>
      <c r="AO388">
        <v>1</v>
      </c>
      <c r="AP388">
        <v>0</v>
      </c>
      <c r="AQ388">
        <v>0</v>
      </c>
      <c r="AR388">
        <v>0</v>
      </c>
      <c r="AS388" t="s">
        <v>3</v>
      </c>
      <c r="AT388">
        <v>0.02</v>
      </c>
      <c r="AU388" t="s">
        <v>3</v>
      </c>
      <c r="AV388">
        <v>0</v>
      </c>
      <c r="AW388">
        <v>2</v>
      </c>
      <c r="AX388">
        <v>94802411</v>
      </c>
      <c r="AY388">
        <v>1</v>
      </c>
      <c r="AZ388">
        <v>0</v>
      </c>
      <c r="BA388">
        <v>388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V388">
        <v>0</v>
      </c>
      <c r="CW388">
        <f>ROUND(Y388*Source!I432*DO388,9)</f>
        <v>0</v>
      </c>
      <c r="CX388">
        <f>ROUND(Y388*Source!I432,9)</f>
        <v>5.9999999999999995E-4</v>
      </c>
      <c r="CY388">
        <f t="shared" si="164"/>
        <v>1506.32</v>
      </c>
      <c r="CZ388">
        <f t="shared" si="165"/>
        <v>119.36</v>
      </c>
      <c r="DA388">
        <f t="shared" si="166"/>
        <v>12.62</v>
      </c>
      <c r="DB388">
        <f t="shared" si="153"/>
        <v>2.39</v>
      </c>
      <c r="DC388">
        <f t="shared" si="154"/>
        <v>0.21</v>
      </c>
      <c r="DD388" t="s">
        <v>3</v>
      </c>
      <c r="DE388" t="s">
        <v>3</v>
      </c>
      <c r="DF388">
        <f t="shared" si="163"/>
        <v>0</v>
      </c>
      <c r="DG388">
        <f t="shared" si="167"/>
        <v>0.9</v>
      </c>
      <c r="DH388">
        <f t="shared" si="168"/>
        <v>0.22</v>
      </c>
      <c r="DI388">
        <f t="shared" si="170"/>
        <v>0</v>
      </c>
      <c r="DJ388">
        <f t="shared" si="169"/>
        <v>0.9</v>
      </c>
      <c r="DK388">
        <v>0</v>
      </c>
      <c r="DL388" t="s">
        <v>3</v>
      </c>
      <c r="DM388">
        <v>0</v>
      </c>
      <c r="DN388" t="s">
        <v>3</v>
      </c>
      <c r="DO388">
        <v>0</v>
      </c>
    </row>
    <row r="389" spans="1:119" x14ac:dyDescent="0.2">
      <c r="A389">
        <f>ROW(Source!A432)</f>
        <v>432</v>
      </c>
      <c r="B389">
        <v>94798619</v>
      </c>
      <c r="C389">
        <v>94802393</v>
      </c>
      <c r="D389">
        <v>37735405</v>
      </c>
      <c r="E389">
        <v>1</v>
      </c>
      <c r="F389">
        <v>1</v>
      </c>
      <c r="G389">
        <v>1</v>
      </c>
      <c r="H389">
        <v>3</v>
      </c>
      <c r="I389" t="s">
        <v>1054</v>
      </c>
      <c r="J389" t="s">
        <v>1055</v>
      </c>
      <c r="K389" t="s">
        <v>1056</v>
      </c>
      <c r="L389">
        <v>1348</v>
      </c>
      <c r="N389">
        <v>1009</v>
      </c>
      <c r="O389" t="s">
        <v>170</v>
      </c>
      <c r="P389" t="s">
        <v>170</v>
      </c>
      <c r="Q389">
        <v>1000</v>
      </c>
      <c r="W389">
        <v>0</v>
      </c>
      <c r="X389">
        <v>-2108161735</v>
      </c>
      <c r="Y389">
        <f t="shared" si="152"/>
        <v>4.0000000000000002E-4</v>
      </c>
      <c r="AA389">
        <v>60069.67</v>
      </c>
      <c r="AB389">
        <v>0</v>
      </c>
      <c r="AC389">
        <v>0</v>
      </c>
      <c r="AD389">
        <v>0</v>
      </c>
      <c r="AE389">
        <v>5989</v>
      </c>
      <c r="AF389">
        <v>0</v>
      </c>
      <c r="AG389">
        <v>0</v>
      </c>
      <c r="AH389">
        <v>0</v>
      </c>
      <c r="AI389">
        <v>10.029999999999999</v>
      </c>
      <c r="AJ389">
        <v>1</v>
      </c>
      <c r="AK389">
        <v>1</v>
      </c>
      <c r="AL389">
        <v>1</v>
      </c>
      <c r="AM389">
        <v>2</v>
      </c>
      <c r="AN389">
        <v>0</v>
      </c>
      <c r="AO389">
        <v>1</v>
      </c>
      <c r="AP389">
        <v>0</v>
      </c>
      <c r="AQ389">
        <v>0</v>
      </c>
      <c r="AR389">
        <v>0</v>
      </c>
      <c r="AS389" t="s">
        <v>3</v>
      </c>
      <c r="AT389">
        <v>4.0000000000000002E-4</v>
      </c>
      <c r="AU389" t="s">
        <v>3</v>
      </c>
      <c r="AV389">
        <v>0</v>
      </c>
      <c r="AW389">
        <v>2</v>
      </c>
      <c r="AX389">
        <v>94802412</v>
      </c>
      <c r="AY389">
        <v>1</v>
      </c>
      <c r="AZ389">
        <v>0</v>
      </c>
      <c r="BA389">
        <v>389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V389">
        <v>0</v>
      </c>
      <c r="CW389">
        <v>0</v>
      </c>
      <c r="CX389">
        <f>ROUND(Y389*Source!I432,9)</f>
        <v>1.2E-5</v>
      </c>
      <c r="CY389">
        <f t="shared" ref="CY389:CY396" si="171">AA389</f>
        <v>60069.67</v>
      </c>
      <c r="CZ389">
        <f t="shared" ref="CZ389:CZ396" si="172">AE389</f>
        <v>5989</v>
      </c>
      <c r="DA389">
        <f t="shared" ref="DA389:DA396" si="173">AI389</f>
        <v>10.029999999999999</v>
      </c>
      <c r="DB389">
        <f t="shared" si="153"/>
        <v>2.4</v>
      </c>
      <c r="DC389">
        <f t="shared" si="154"/>
        <v>0</v>
      </c>
      <c r="DD389" t="s">
        <v>3</v>
      </c>
      <c r="DE389" t="s">
        <v>3</v>
      </c>
      <c r="DF389">
        <f t="shared" ref="DF389:DF396" si="174">ROUND(ROUND(AE389*AI389,2)*CX389,2)</f>
        <v>0.72</v>
      </c>
      <c r="DG389">
        <f t="shared" ref="DG389:DG398" si="175">ROUND(ROUND(AF389,2)*CX389,2)</f>
        <v>0</v>
      </c>
      <c r="DH389">
        <f t="shared" ref="DH389:DH398" si="176">ROUND(ROUND(AG389,2)*CX389,2)</f>
        <v>0</v>
      </c>
      <c r="DI389">
        <f t="shared" si="170"/>
        <v>0</v>
      </c>
      <c r="DJ389">
        <f t="shared" ref="DJ389:DJ396" si="177">DF389</f>
        <v>0.72</v>
      </c>
      <c r="DK389">
        <v>0</v>
      </c>
      <c r="DL389" t="s">
        <v>3</v>
      </c>
      <c r="DM389">
        <v>0</v>
      </c>
      <c r="DN389" t="s">
        <v>3</v>
      </c>
      <c r="DO389">
        <v>0</v>
      </c>
    </row>
    <row r="390" spans="1:119" x14ac:dyDescent="0.2">
      <c r="A390">
        <f>ROW(Source!A432)</f>
        <v>432</v>
      </c>
      <c r="B390">
        <v>94798619</v>
      </c>
      <c r="C390">
        <v>94802393</v>
      </c>
      <c r="D390">
        <v>37730358</v>
      </c>
      <c r="E390">
        <v>1</v>
      </c>
      <c r="F390">
        <v>1</v>
      </c>
      <c r="G390">
        <v>1</v>
      </c>
      <c r="H390">
        <v>3</v>
      </c>
      <c r="I390" t="s">
        <v>1057</v>
      </c>
      <c r="J390" t="s">
        <v>1058</v>
      </c>
      <c r="K390" t="s">
        <v>1059</v>
      </c>
      <c r="L390">
        <v>1348</v>
      </c>
      <c r="N390">
        <v>1009</v>
      </c>
      <c r="O390" t="s">
        <v>170</v>
      </c>
      <c r="P390" t="s">
        <v>170</v>
      </c>
      <c r="Q390">
        <v>1000</v>
      </c>
      <c r="W390">
        <v>0</v>
      </c>
      <c r="X390">
        <v>-950616880</v>
      </c>
      <c r="Y390">
        <f t="shared" si="152"/>
        <v>2.0000000000000001E-4</v>
      </c>
      <c r="AA390">
        <v>354721.8</v>
      </c>
      <c r="AB390">
        <v>0</v>
      </c>
      <c r="AC390">
        <v>0</v>
      </c>
      <c r="AD390">
        <v>0</v>
      </c>
      <c r="AE390">
        <v>45130</v>
      </c>
      <c r="AF390">
        <v>0</v>
      </c>
      <c r="AG390">
        <v>0</v>
      </c>
      <c r="AH390">
        <v>0</v>
      </c>
      <c r="AI390">
        <v>7.86</v>
      </c>
      <c r="AJ390">
        <v>1</v>
      </c>
      <c r="AK390">
        <v>1</v>
      </c>
      <c r="AL390">
        <v>1</v>
      </c>
      <c r="AM390">
        <v>2</v>
      </c>
      <c r="AN390">
        <v>0</v>
      </c>
      <c r="AO390">
        <v>1</v>
      </c>
      <c r="AP390">
        <v>0</v>
      </c>
      <c r="AQ390">
        <v>0</v>
      </c>
      <c r="AR390">
        <v>0</v>
      </c>
      <c r="AS390" t="s">
        <v>3</v>
      </c>
      <c r="AT390">
        <v>2.0000000000000001E-4</v>
      </c>
      <c r="AU390" t="s">
        <v>3</v>
      </c>
      <c r="AV390">
        <v>0</v>
      </c>
      <c r="AW390">
        <v>2</v>
      </c>
      <c r="AX390">
        <v>94802413</v>
      </c>
      <c r="AY390">
        <v>1</v>
      </c>
      <c r="AZ390">
        <v>0</v>
      </c>
      <c r="BA390">
        <v>390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V390">
        <v>0</v>
      </c>
      <c r="CW390">
        <v>0</v>
      </c>
      <c r="CX390">
        <f>ROUND(Y390*Source!I432,9)</f>
        <v>6.0000000000000002E-6</v>
      </c>
      <c r="CY390">
        <f t="shared" si="171"/>
        <v>354721.8</v>
      </c>
      <c r="CZ390">
        <f t="shared" si="172"/>
        <v>45130</v>
      </c>
      <c r="DA390">
        <f t="shared" si="173"/>
        <v>7.86</v>
      </c>
      <c r="DB390">
        <f t="shared" si="153"/>
        <v>9.0299999999999994</v>
      </c>
      <c r="DC390">
        <f t="shared" si="154"/>
        <v>0</v>
      </c>
      <c r="DD390" t="s">
        <v>3</v>
      </c>
      <c r="DE390" t="s">
        <v>3</v>
      </c>
      <c r="DF390">
        <f t="shared" si="174"/>
        <v>2.13</v>
      </c>
      <c r="DG390">
        <f t="shared" si="175"/>
        <v>0</v>
      </c>
      <c r="DH390">
        <f t="shared" si="176"/>
        <v>0</v>
      </c>
      <c r="DI390">
        <f t="shared" si="170"/>
        <v>0</v>
      </c>
      <c r="DJ390">
        <f t="shared" si="177"/>
        <v>2.13</v>
      </c>
      <c r="DK390">
        <v>0</v>
      </c>
      <c r="DL390" t="s">
        <v>3</v>
      </c>
      <c r="DM390">
        <v>0</v>
      </c>
      <c r="DN390" t="s">
        <v>3</v>
      </c>
      <c r="DO390">
        <v>0</v>
      </c>
    </row>
    <row r="391" spans="1:119" x14ac:dyDescent="0.2">
      <c r="A391">
        <f>ROW(Source!A432)</f>
        <v>432</v>
      </c>
      <c r="B391">
        <v>94798619</v>
      </c>
      <c r="C391">
        <v>94802393</v>
      </c>
      <c r="D391">
        <v>37730500</v>
      </c>
      <c r="E391">
        <v>1</v>
      </c>
      <c r="F391">
        <v>1</v>
      </c>
      <c r="G391">
        <v>1</v>
      </c>
      <c r="H391">
        <v>3</v>
      </c>
      <c r="I391" t="s">
        <v>1060</v>
      </c>
      <c r="J391" t="s">
        <v>1061</v>
      </c>
      <c r="K391" t="s">
        <v>1062</v>
      </c>
      <c r="L391">
        <v>1348</v>
      </c>
      <c r="N391">
        <v>1009</v>
      </c>
      <c r="O391" t="s">
        <v>170</v>
      </c>
      <c r="P391" t="s">
        <v>170</v>
      </c>
      <c r="Q391">
        <v>1000</v>
      </c>
      <c r="W391">
        <v>0</v>
      </c>
      <c r="X391">
        <v>-1018410528</v>
      </c>
      <c r="Y391">
        <f t="shared" si="152"/>
        <v>0.9</v>
      </c>
      <c r="AA391">
        <v>36269.71</v>
      </c>
      <c r="AB391">
        <v>0</v>
      </c>
      <c r="AC391">
        <v>0</v>
      </c>
      <c r="AD391">
        <v>0</v>
      </c>
      <c r="AE391">
        <v>1654.64</v>
      </c>
      <c r="AF391">
        <v>0</v>
      </c>
      <c r="AG391">
        <v>0</v>
      </c>
      <c r="AH391">
        <v>0</v>
      </c>
      <c r="AI391">
        <v>21.92</v>
      </c>
      <c r="AJ391">
        <v>1</v>
      </c>
      <c r="AK391">
        <v>1</v>
      </c>
      <c r="AL391">
        <v>1</v>
      </c>
      <c r="AM391">
        <v>2</v>
      </c>
      <c r="AN391">
        <v>0</v>
      </c>
      <c r="AO391">
        <v>1</v>
      </c>
      <c r="AP391">
        <v>0</v>
      </c>
      <c r="AQ391">
        <v>0</v>
      </c>
      <c r="AR391">
        <v>0</v>
      </c>
      <c r="AS391" t="s">
        <v>3</v>
      </c>
      <c r="AT391">
        <v>0.9</v>
      </c>
      <c r="AU391" t="s">
        <v>3</v>
      </c>
      <c r="AV391">
        <v>0</v>
      </c>
      <c r="AW391">
        <v>2</v>
      </c>
      <c r="AX391">
        <v>94802414</v>
      </c>
      <c r="AY391">
        <v>1</v>
      </c>
      <c r="AZ391">
        <v>0</v>
      </c>
      <c r="BA391">
        <v>391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V391">
        <v>0</v>
      </c>
      <c r="CW391">
        <v>0</v>
      </c>
      <c r="CX391">
        <f>ROUND(Y391*Source!I432,9)</f>
        <v>2.7E-2</v>
      </c>
      <c r="CY391">
        <f t="shared" si="171"/>
        <v>36269.71</v>
      </c>
      <c r="CZ391">
        <f t="shared" si="172"/>
        <v>1654.64</v>
      </c>
      <c r="DA391">
        <f t="shared" si="173"/>
        <v>21.92</v>
      </c>
      <c r="DB391">
        <f t="shared" si="153"/>
        <v>1489.18</v>
      </c>
      <c r="DC391">
        <f t="shared" si="154"/>
        <v>0</v>
      </c>
      <c r="DD391" t="s">
        <v>3</v>
      </c>
      <c r="DE391" t="s">
        <v>3</v>
      </c>
      <c r="DF391">
        <f t="shared" si="174"/>
        <v>979.28</v>
      </c>
      <c r="DG391">
        <f t="shared" si="175"/>
        <v>0</v>
      </c>
      <c r="DH391">
        <f t="shared" si="176"/>
        <v>0</v>
      </c>
      <c r="DI391">
        <f t="shared" si="170"/>
        <v>0</v>
      </c>
      <c r="DJ391">
        <f t="shared" si="177"/>
        <v>979.28</v>
      </c>
      <c r="DK391">
        <v>0</v>
      </c>
      <c r="DL391" t="s">
        <v>3</v>
      </c>
      <c r="DM391">
        <v>0</v>
      </c>
      <c r="DN391" t="s">
        <v>3</v>
      </c>
      <c r="DO391">
        <v>0</v>
      </c>
    </row>
    <row r="392" spans="1:119" x14ac:dyDescent="0.2">
      <c r="A392">
        <f>ROW(Source!A432)</f>
        <v>432</v>
      </c>
      <c r="B392">
        <v>94798619</v>
      </c>
      <c r="C392">
        <v>94802393</v>
      </c>
      <c r="D392">
        <v>37737513</v>
      </c>
      <c r="E392">
        <v>1</v>
      </c>
      <c r="F392">
        <v>1</v>
      </c>
      <c r="G392">
        <v>1</v>
      </c>
      <c r="H392">
        <v>3</v>
      </c>
      <c r="I392" t="s">
        <v>1063</v>
      </c>
      <c r="J392" t="s">
        <v>1064</v>
      </c>
      <c r="K392" t="s">
        <v>1065</v>
      </c>
      <c r="L392">
        <v>1354</v>
      </c>
      <c r="N392">
        <v>1010</v>
      </c>
      <c r="O392" t="s">
        <v>47</v>
      </c>
      <c r="P392" t="s">
        <v>47</v>
      </c>
      <c r="Q392">
        <v>1</v>
      </c>
      <c r="W392">
        <v>0</v>
      </c>
      <c r="X392">
        <v>-100753096</v>
      </c>
      <c r="Y392">
        <f t="shared" si="152"/>
        <v>0.03</v>
      </c>
      <c r="AA392">
        <v>48.17</v>
      </c>
      <c r="AB392">
        <v>0</v>
      </c>
      <c r="AC392">
        <v>0</v>
      </c>
      <c r="AD392">
        <v>0</v>
      </c>
      <c r="AE392">
        <v>5.07</v>
      </c>
      <c r="AF392">
        <v>0</v>
      </c>
      <c r="AG392">
        <v>0</v>
      </c>
      <c r="AH392">
        <v>0</v>
      </c>
      <c r="AI392">
        <v>9.5</v>
      </c>
      <c r="AJ392">
        <v>1</v>
      </c>
      <c r="AK392">
        <v>1</v>
      </c>
      <c r="AL392">
        <v>1</v>
      </c>
      <c r="AM392">
        <v>2</v>
      </c>
      <c r="AN392">
        <v>0</v>
      </c>
      <c r="AO392">
        <v>1</v>
      </c>
      <c r="AP392">
        <v>0</v>
      </c>
      <c r="AQ392">
        <v>0</v>
      </c>
      <c r="AR392">
        <v>0</v>
      </c>
      <c r="AS392" t="s">
        <v>3</v>
      </c>
      <c r="AT392">
        <v>0.03</v>
      </c>
      <c r="AU392" t="s">
        <v>3</v>
      </c>
      <c r="AV392">
        <v>0</v>
      </c>
      <c r="AW392">
        <v>2</v>
      </c>
      <c r="AX392">
        <v>94802415</v>
      </c>
      <c r="AY392">
        <v>1</v>
      </c>
      <c r="AZ392">
        <v>0</v>
      </c>
      <c r="BA392">
        <v>392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V392">
        <v>0</v>
      </c>
      <c r="CW392">
        <v>0</v>
      </c>
      <c r="CX392">
        <f>ROUND(Y392*Source!I432,9)</f>
        <v>8.9999999999999998E-4</v>
      </c>
      <c r="CY392">
        <f t="shared" si="171"/>
        <v>48.17</v>
      </c>
      <c r="CZ392">
        <f t="shared" si="172"/>
        <v>5.07</v>
      </c>
      <c r="DA392">
        <f t="shared" si="173"/>
        <v>9.5</v>
      </c>
      <c r="DB392">
        <f t="shared" si="153"/>
        <v>0.15</v>
      </c>
      <c r="DC392">
        <f t="shared" si="154"/>
        <v>0</v>
      </c>
      <c r="DD392" t="s">
        <v>3</v>
      </c>
      <c r="DE392" t="s">
        <v>3</v>
      </c>
      <c r="DF392">
        <f t="shared" si="174"/>
        <v>0.04</v>
      </c>
      <c r="DG392">
        <f t="shared" si="175"/>
        <v>0</v>
      </c>
      <c r="DH392">
        <f t="shared" si="176"/>
        <v>0</v>
      </c>
      <c r="DI392">
        <f t="shared" si="170"/>
        <v>0</v>
      </c>
      <c r="DJ392">
        <f t="shared" si="177"/>
        <v>0.04</v>
      </c>
      <c r="DK392">
        <v>0</v>
      </c>
      <c r="DL392" t="s">
        <v>3</v>
      </c>
      <c r="DM392">
        <v>0</v>
      </c>
      <c r="DN392" t="s">
        <v>3</v>
      </c>
      <c r="DO392">
        <v>0</v>
      </c>
    </row>
    <row r="393" spans="1:119" x14ac:dyDescent="0.2">
      <c r="A393">
        <f>ROW(Source!A432)</f>
        <v>432</v>
      </c>
      <c r="B393">
        <v>94798619</v>
      </c>
      <c r="C393">
        <v>94802393</v>
      </c>
      <c r="D393">
        <v>37736785</v>
      </c>
      <c r="E393">
        <v>1</v>
      </c>
      <c r="F393">
        <v>1</v>
      </c>
      <c r="G393">
        <v>1</v>
      </c>
      <c r="H393">
        <v>3</v>
      </c>
      <c r="I393" t="s">
        <v>1066</v>
      </c>
      <c r="J393" t="s">
        <v>1067</v>
      </c>
      <c r="K393" t="s">
        <v>353</v>
      </c>
      <c r="L393">
        <v>1348</v>
      </c>
      <c r="N393">
        <v>1009</v>
      </c>
      <c r="O393" t="s">
        <v>170</v>
      </c>
      <c r="P393" t="s">
        <v>170</v>
      </c>
      <c r="Q393">
        <v>1000</v>
      </c>
      <c r="W393">
        <v>0</v>
      </c>
      <c r="X393">
        <v>-1485663071</v>
      </c>
      <c r="Y393">
        <f t="shared" si="152"/>
        <v>2E-3</v>
      </c>
      <c r="AA393">
        <v>104807.88</v>
      </c>
      <c r="AB393">
        <v>0</v>
      </c>
      <c r="AC393">
        <v>0</v>
      </c>
      <c r="AD393">
        <v>0</v>
      </c>
      <c r="AE393">
        <v>10068</v>
      </c>
      <c r="AF393">
        <v>0</v>
      </c>
      <c r="AG393">
        <v>0</v>
      </c>
      <c r="AH393">
        <v>0</v>
      </c>
      <c r="AI393">
        <v>10.41</v>
      </c>
      <c r="AJ393">
        <v>1</v>
      </c>
      <c r="AK393">
        <v>1</v>
      </c>
      <c r="AL393">
        <v>1</v>
      </c>
      <c r="AM393">
        <v>2</v>
      </c>
      <c r="AN393">
        <v>0</v>
      </c>
      <c r="AO393">
        <v>1</v>
      </c>
      <c r="AP393">
        <v>0</v>
      </c>
      <c r="AQ393">
        <v>0</v>
      </c>
      <c r="AR393">
        <v>0</v>
      </c>
      <c r="AS393" t="s">
        <v>3</v>
      </c>
      <c r="AT393">
        <v>2E-3</v>
      </c>
      <c r="AU393" t="s">
        <v>3</v>
      </c>
      <c r="AV393">
        <v>0</v>
      </c>
      <c r="AW393">
        <v>2</v>
      </c>
      <c r="AX393">
        <v>94802416</v>
      </c>
      <c r="AY393">
        <v>1</v>
      </c>
      <c r="AZ393">
        <v>0</v>
      </c>
      <c r="BA393">
        <v>393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V393">
        <v>0</v>
      </c>
      <c r="CW393">
        <v>0</v>
      </c>
      <c r="CX393">
        <f>ROUND(Y393*Source!I432,9)</f>
        <v>6.0000000000000002E-5</v>
      </c>
      <c r="CY393">
        <f t="shared" si="171"/>
        <v>104807.88</v>
      </c>
      <c r="CZ393">
        <f t="shared" si="172"/>
        <v>10068</v>
      </c>
      <c r="DA393">
        <f t="shared" si="173"/>
        <v>10.41</v>
      </c>
      <c r="DB393">
        <f t="shared" si="153"/>
        <v>20.14</v>
      </c>
      <c r="DC393">
        <f t="shared" si="154"/>
        <v>0</v>
      </c>
      <c r="DD393" t="s">
        <v>3</v>
      </c>
      <c r="DE393" t="s">
        <v>3</v>
      </c>
      <c r="DF393">
        <f t="shared" si="174"/>
        <v>6.29</v>
      </c>
      <c r="DG393">
        <f t="shared" si="175"/>
        <v>0</v>
      </c>
      <c r="DH393">
        <f t="shared" si="176"/>
        <v>0</v>
      </c>
      <c r="DI393">
        <f t="shared" si="170"/>
        <v>0</v>
      </c>
      <c r="DJ393">
        <f t="shared" si="177"/>
        <v>6.29</v>
      </c>
      <c r="DK393">
        <v>0</v>
      </c>
      <c r="DL393" t="s">
        <v>3</v>
      </c>
      <c r="DM393">
        <v>0</v>
      </c>
      <c r="DN393" t="s">
        <v>3</v>
      </c>
      <c r="DO393">
        <v>0</v>
      </c>
    </row>
    <row r="394" spans="1:119" x14ac:dyDescent="0.2">
      <c r="A394">
        <f>ROW(Source!A432)</f>
        <v>432</v>
      </c>
      <c r="B394">
        <v>94798619</v>
      </c>
      <c r="C394">
        <v>94802393</v>
      </c>
      <c r="D394">
        <v>37729662</v>
      </c>
      <c r="E394">
        <v>1</v>
      </c>
      <c r="F394">
        <v>1</v>
      </c>
      <c r="G394">
        <v>1</v>
      </c>
      <c r="H394">
        <v>3</v>
      </c>
      <c r="I394" t="s">
        <v>812</v>
      </c>
      <c r="J394" t="s">
        <v>813</v>
      </c>
      <c r="K394" t="s">
        <v>814</v>
      </c>
      <c r="L394">
        <v>1346</v>
      </c>
      <c r="N394">
        <v>1009</v>
      </c>
      <c r="O394" t="s">
        <v>192</v>
      </c>
      <c r="P394" t="s">
        <v>192</v>
      </c>
      <c r="Q394">
        <v>1</v>
      </c>
      <c r="W394">
        <v>0</v>
      </c>
      <c r="X394">
        <v>873943321</v>
      </c>
      <c r="Y394">
        <f t="shared" si="152"/>
        <v>0.85</v>
      </c>
      <c r="AA394">
        <v>53.09</v>
      </c>
      <c r="AB394">
        <v>0</v>
      </c>
      <c r="AC394">
        <v>0</v>
      </c>
      <c r="AD394">
        <v>0</v>
      </c>
      <c r="AE394">
        <v>6.62</v>
      </c>
      <c r="AF394">
        <v>0</v>
      </c>
      <c r="AG394">
        <v>0</v>
      </c>
      <c r="AH394">
        <v>0</v>
      </c>
      <c r="AI394">
        <v>8.02</v>
      </c>
      <c r="AJ394">
        <v>1</v>
      </c>
      <c r="AK394">
        <v>1</v>
      </c>
      <c r="AL394">
        <v>1</v>
      </c>
      <c r="AM394">
        <v>2</v>
      </c>
      <c r="AN394">
        <v>0</v>
      </c>
      <c r="AO394">
        <v>1</v>
      </c>
      <c r="AP394">
        <v>0</v>
      </c>
      <c r="AQ394">
        <v>0</v>
      </c>
      <c r="AR394">
        <v>0</v>
      </c>
      <c r="AS394" t="s">
        <v>3</v>
      </c>
      <c r="AT394">
        <v>0.85</v>
      </c>
      <c r="AU394" t="s">
        <v>3</v>
      </c>
      <c r="AV394">
        <v>0</v>
      </c>
      <c r="AW394">
        <v>2</v>
      </c>
      <c r="AX394">
        <v>94802417</v>
      </c>
      <c r="AY394">
        <v>1</v>
      </c>
      <c r="AZ394">
        <v>0</v>
      </c>
      <c r="BA394">
        <v>394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V394">
        <v>0</v>
      </c>
      <c r="CW394">
        <v>0</v>
      </c>
      <c r="CX394">
        <f>ROUND(Y394*Source!I432,9)</f>
        <v>2.5499999999999998E-2</v>
      </c>
      <c r="CY394">
        <f t="shared" si="171"/>
        <v>53.09</v>
      </c>
      <c r="CZ394">
        <f t="shared" si="172"/>
        <v>6.62</v>
      </c>
      <c r="DA394">
        <f t="shared" si="173"/>
        <v>8.02</v>
      </c>
      <c r="DB394">
        <f t="shared" si="153"/>
        <v>5.63</v>
      </c>
      <c r="DC394">
        <f t="shared" si="154"/>
        <v>0</v>
      </c>
      <c r="DD394" t="s">
        <v>3</v>
      </c>
      <c r="DE394" t="s">
        <v>3</v>
      </c>
      <c r="DF394">
        <f t="shared" si="174"/>
        <v>1.35</v>
      </c>
      <c r="DG394">
        <f t="shared" si="175"/>
        <v>0</v>
      </c>
      <c r="DH394">
        <f t="shared" si="176"/>
        <v>0</v>
      </c>
      <c r="DI394">
        <f t="shared" si="170"/>
        <v>0</v>
      </c>
      <c r="DJ394">
        <f t="shared" si="177"/>
        <v>1.35</v>
      </c>
      <c r="DK394">
        <v>0</v>
      </c>
      <c r="DL394" t="s">
        <v>3</v>
      </c>
      <c r="DM394">
        <v>0</v>
      </c>
      <c r="DN394" t="s">
        <v>3</v>
      </c>
      <c r="DO394">
        <v>0</v>
      </c>
    </row>
    <row r="395" spans="1:119" x14ac:dyDescent="0.2">
      <c r="A395">
        <f>ROW(Source!A432)</f>
        <v>432</v>
      </c>
      <c r="B395">
        <v>94798619</v>
      </c>
      <c r="C395">
        <v>94802393</v>
      </c>
      <c r="D395">
        <v>37753215</v>
      </c>
      <c r="E395">
        <v>1</v>
      </c>
      <c r="F395">
        <v>1</v>
      </c>
      <c r="G395">
        <v>1</v>
      </c>
      <c r="H395">
        <v>3</v>
      </c>
      <c r="I395" t="s">
        <v>1068</v>
      </c>
      <c r="J395" t="s">
        <v>1069</v>
      </c>
      <c r="K395" t="s">
        <v>1070</v>
      </c>
      <c r="L395">
        <v>1348</v>
      </c>
      <c r="N395">
        <v>1009</v>
      </c>
      <c r="O395" t="s">
        <v>170</v>
      </c>
      <c r="P395" t="s">
        <v>170</v>
      </c>
      <c r="Q395">
        <v>1000</v>
      </c>
      <c r="W395">
        <v>0</v>
      </c>
      <c r="X395">
        <v>105158306</v>
      </c>
      <c r="Y395">
        <f t="shared" si="152"/>
        <v>4.0000000000000002E-4</v>
      </c>
      <c r="AA395">
        <v>70620.23</v>
      </c>
      <c r="AB395">
        <v>0</v>
      </c>
      <c r="AC395">
        <v>0</v>
      </c>
      <c r="AD395">
        <v>0</v>
      </c>
      <c r="AE395">
        <v>5565.03</v>
      </c>
      <c r="AF395">
        <v>0</v>
      </c>
      <c r="AG395">
        <v>0</v>
      </c>
      <c r="AH395">
        <v>0</v>
      </c>
      <c r="AI395">
        <v>12.69</v>
      </c>
      <c r="AJ395">
        <v>1</v>
      </c>
      <c r="AK395">
        <v>1</v>
      </c>
      <c r="AL395">
        <v>1</v>
      </c>
      <c r="AM395">
        <v>2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3</v>
      </c>
      <c r="AT395">
        <v>4.0000000000000002E-4</v>
      </c>
      <c r="AU395" t="s">
        <v>3</v>
      </c>
      <c r="AV395">
        <v>0</v>
      </c>
      <c r="AW395">
        <v>2</v>
      </c>
      <c r="AX395">
        <v>94802418</v>
      </c>
      <c r="AY395">
        <v>1</v>
      </c>
      <c r="AZ395">
        <v>0</v>
      </c>
      <c r="BA395">
        <v>395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V395">
        <v>0</v>
      </c>
      <c r="CW395">
        <v>0</v>
      </c>
      <c r="CX395">
        <f>ROUND(Y395*Source!I432,9)</f>
        <v>1.2E-5</v>
      </c>
      <c r="CY395">
        <f t="shared" si="171"/>
        <v>70620.23</v>
      </c>
      <c r="CZ395">
        <f t="shared" si="172"/>
        <v>5565.03</v>
      </c>
      <c r="DA395">
        <f t="shared" si="173"/>
        <v>12.69</v>
      </c>
      <c r="DB395">
        <f t="shared" si="153"/>
        <v>2.23</v>
      </c>
      <c r="DC395">
        <f t="shared" si="154"/>
        <v>0</v>
      </c>
      <c r="DD395" t="s">
        <v>3</v>
      </c>
      <c r="DE395" t="s">
        <v>3</v>
      </c>
      <c r="DF395">
        <f t="shared" si="174"/>
        <v>0.85</v>
      </c>
      <c r="DG395">
        <f t="shared" si="175"/>
        <v>0</v>
      </c>
      <c r="DH395">
        <f t="shared" si="176"/>
        <v>0</v>
      </c>
      <c r="DI395">
        <f t="shared" si="170"/>
        <v>0</v>
      </c>
      <c r="DJ395">
        <f t="shared" si="177"/>
        <v>0.85</v>
      </c>
      <c r="DK395">
        <v>0</v>
      </c>
      <c r="DL395" t="s">
        <v>3</v>
      </c>
      <c r="DM395">
        <v>0</v>
      </c>
      <c r="DN395" t="s">
        <v>3</v>
      </c>
      <c r="DO395">
        <v>0</v>
      </c>
    </row>
    <row r="396" spans="1:119" x14ac:dyDescent="0.2">
      <c r="A396">
        <f>ROW(Source!A432)</f>
        <v>432</v>
      </c>
      <c r="B396">
        <v>94798619</v>
      </c>
      <c r="C396">
        <v>94802393</v>
      </c>
      <c r="D396">
        <v>37777802</v>
      </c>
      <c r="E396">
        <v>1</v>
      </c>
      <c r="F396">
        <v>1</v>
      </c>
      <c r="G396">
        <v>1</v>
      </c>
      <c r="H396">
        <v>3</v>
      </c>
      <c r="I396" t="s">
        <v>883</v>
      </c>
      <c r="J396" t="s">
        <v>884</v>
      </c>
      <c r="K396" t="s">
        <v>885</v>
      </c>
      <c r="L396">
        <v>1339</v>
      </c>
      <c r="N396">
        <v>1007</v>
      </c>
      <c r="O396" t="s">
        <v>52</v>
      </c>
      <c r="P396" t="s">
        <v>52</v>
      </c>
      <c r="Q396">
        <v>1</v>
      </c>
      <c r="W396">
        <v>0</v>
      </c>
      <c r="X396">
        <v>-1418712732</v>
      </c>
      <c r="Y396">
        <f t="shared" si="152"/>
        <v>20</v>
      </c>
      <c r="AA396">
        <v>19.59</v>
      </c>
      <c r="AB396">
        <v>0</v>
      </c>
      <c r="AC396">
        <v>0</v>
      </c>
      <c r="AD396">
        <v>0</v>
      </c>
      <c r="AE396">
        <v>2.4700000000000002</v>
      </c>
      <c r="AF396">
        <v>0</v>
      </c>
      <c r="AG396">
        <v>0</v>
      </c>
      <c r="AH396">
        <v>0</v>
      </c>
      <c r="AI396">
        <v>7.93</v>
      </c>
      <c r="AJ396">
        <v>1</v>
      </c>
      <c r="AK396">
        <v>1</v>
      </c>
      <c r="AL396">
        <v>1</v>
      </c>
      <c r="AM396">
        <v>2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3</v>
      </c>
      <c r="AT396">
        <v>20</v>
      </c>
      <c r="AU396" t="s">
        <v>3</v>
      </c>
      <c r="AV396">
        <v>0</v>
      </c>
      <c r="AW396">
        <v>2</v>
      </c>
      <c r="AX396">
        <v>94802419</v>
      </c>
      <c r="AY396">
        <v>1</v>
      </c>
      <c r="AZ396">
        <v>0</v>
      </c>
      <c r="BA396">
        <v>396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V396">
        <v>0</v>
      </c>
      <c r="CW396">
        <v>0</v>
      </c>
      <c r="CX396">
        <f>ROUND(Y396*Source!I432,9)</f>
        <v>0.6</v>
      </c>
      <c r="CY396">
        <f t="shared" si="171"/>
        <v>19.59</v>
      </c>
      <c r="CZ396">
        <f t="shared" si="172"/>
        <v>2.4700000000000002</v>
      </c>
      <c r="DA396">
        <f t="shared" si="173"/>
        <v>7.93</v>
      </c>
      <c r="DB396">
        <f t="shared" si="153"/>
        <v>49.4</v>
      </c>
      <c r="DC396">
        <f t="shared" si="154"/>
        <v>0</v>
      </c>
      <c r="DD396" t="s">
        <v>3</v>
      </c>
      <c r="DE396" t="s">
        <v>3</v>
      </c>
      <c r="DF396">
        <f t="shared" si="174"/>
        <v>11.75</v>
      </c>
      <c r="DG396">
        <f t="shared" si="175"/>
        <v>0</v>
      </c>
      <c r="DH396">
        <f t="shared" si="176"/>
        <v>0</v>
      </c>
      <c r="DI396">
        <f t="shared" si="170"/>
        <v>0</v>
      </c>
      <c r="DJ396">
        <f t="shared" si="177"/>
        <v>11.75</v>
      </c>
      <c r="DK396">
        <v>0</v>
      </c>
      <c r="DL396" t="s">
        <v>3</v>
      </c>
      <c r="DM396">
        <v>0</v>
      </c>
      <c r="DN396" t="s">
        <v>3</v>
      </c>
      <c r="DO396">
        <v>0</v>
      </c>
    </row>
    <row r="397" spans="1:119" x14ac:dyDescent="0.2">
      <c r="A397">
        <f>ROW(Source!A434)</f>
        <v>434</v>
      </c>
      <c r="B397">
        <v>94798619</v>
      </c>
      <c r="C397">
        <v>94802420</v>
      </c>
      <c r="D397">
        <v>23134555</v>
      </c>
      <c r="E397">
        <v>1</v>
      </c>
      <c r="F397">
        <v>1</v>
      </c>
      <c r="G397">
        <v>1</v>
      </c>
      <c r="H397">
        <v>1</v>
      </c>
      <c r="I397" t="s">
        <v>1016</v>
      </c>
      <c r="J397" t="s">
        <v>3</v>
      </c>
      <c r="K397" t="s">
        <v>1017</v>
      </c>
      <c r="L397">
        <v>1369</v>
      </c>
      <c r="N397">
        <v>1013</v>
      </c>
      <c r="O397" t="s">
        <v>696</v>
      </c>
      <c r="P397" t="s">
        <v>696</v>
      </c>
      <c r="Q397">
        <v>1</v>
      </c>
      <c r="W397">
        <v>0</v>
      </c>
      <c r="X397">
        <v>-1593017532</v>
      </c>
      <c r="Y397">
        <f t="shared" si="152"/>
        <v>1.43</v>
      </c>
      <c r="AA397">
        <v>0</v>
      </c>
      <c r="AB397">
        <v>0</v>
      </c>
      <c r="AC397">
        <v>0</v>
      </c>
      <c r="AD397">
        <v>8.3800000000000008</v>
      </c>
      <c r="AE397">
        <v>0</v>
      </c>
      <c r="AF397">
        <v>0</v>
      </c>
      <c r="AG397">
        <v>0</v>
      </c>
      <c r="AH397">
        <v>8.3800000000000008</v>
      </c>
      <c r="AI397">
        <v>1</v>
      </c>
      <c r="AJ397">
        <v>1</v>
      </c>
      <c r="AK397">
        <v>1</v>
      </c>
      <c r="AL397">
        <v>1</v>
      </c>
      <c r="AM397">
        <v>-2</v>
      </c>
      <c r="AN397">
        <v>0</v>
      </c>
      <c r="AO397">
        <v>1</v>
      </c>
      <c r="AP397">
        <v>1</v>
      </c>
      <c r="AQ397">
        <v>0</v>
      </c>
      <c r="AR397">
        <v>0</v>
      </c>
      <c r="AS397" t="s">
        <v>3</v>
      </c>
      <c r="AT397">
        <v>1.43</v>
      </c>
      <c r="AU397" t="s">
        <v>3</v>
      </c>
      <c r="AV397">
        <v>1</v>
      </c>
      <c r="AW397">
        <v>2</v>
      </c>
      <c r="AX397">
        <v>94802447</v>
      </c>
      <c r="AY397">
        <v>1</v>
      </c>
      <c r="AZ397">
        <v>0</v>
      </c>
      <c r="BA397">
        <v>397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U397">
        <f>ROUND(AT397*Source!I434*AH397*AL397,2)</f>
        <v>0</v>
      </c>
      <c r="CV397">
        <f>ROUND(Y397*Source!I434,9)</f>
        <v>0</v>
      </c>
      <c r="CW397">
        <v>0</v>
      </c>
      <c r="CX397">
        <f>ROUND(Y397*Source!I434,9)</f>
        <v>0</v>
      </c>
      <c r="CY397">
        <f>AD397</f>
        <v>8.3800000000000008</v>
      </c>
      <c r="CZ397">
        <f>AH397</f>
        <v>8.3800000000000008</v>
      </c>
      <c r="DA397">
        <f>AL397</f>
        <v>1</v>
      </c>
      <c r="DB397">
        <f t="shared" si="153"/>
        <v>11.98</v>
      </c>
      <c r="DC397">
        <f t="shared" si="154"/>
        <v>0</v>
      </c>
      <c r="DD397" t="s">
        <v>3</v>
      </c>
      <c r="DE397" t="s">
        <v>3</v>
      </c>
      <c r="DF397">
        <f t="shared" ref="DF397:DF423" si="178">ROUND(ROUND(AE397,2)*CX397,2)</f>
        <v>0</v>
      </c>
      <c r="DG397">
        <f t="shared" si="175"/>
        <v>0</v>
      </c>
      <c r="DH397">
        <f t="shared" si="176"/>
        <v>0</v>
      </c>
      <c r="DI397">
        <f t="shared" si="170"/>
        <v>0</v>
      </c>
      <c r="DJ397">
        <f>DI397</f>
        <v>0</v>
      </c>
      <c r="DK397">
        <v>0</v>
      </c>
      <c r="DL397" t="s">
        <v>3</v>
      </c>
      <c r="DM397">
        <v>0</v>
      </c>
      <c r="DN397" t="s">
        <v>3</v>
      </c>
      <c r="DO397">
        <v>0</v>
      </c>
    </row>
    <row r="398" spans="1:119" x14ac:dyDescent="0.2">
      <c r="A398">
        <f>ROW(Source!A434)</f>
        <v>434</v>
      </c>
      <c r="B398">
        <v>94798619</v>
      </c>
      <c r="C398">
        <v>94802420</v>
      </c>
      <c r="D398">
        <v>121548</v>
      </c>
      <c r="E398">
        <v>1</v>
      </c>
      <c r="F398">
        <v>1</v>
      </c>
      <c r="G398">
        <v>1</v>
      </c>
      <c r="H398">
        <v>1</v>
      </c>
      <c r="I398" t="s">
        <v>28</v>
      </c>
      <c r="J398" t="s">
        <v>3</v>
      </c>
      <c r="K398" t="s">
        <v>705</v>
      </c>
      <c r="L398">
        <v>608254</v>
      </c>
      <c r="N398">
        <v>1013</v>
      </c>
      <c r="O398" t="s">
        <v>706</v>
      </c>
      <c r="P398" t="s">
        <v>706</v>
      </c>
      <c r="Q398">
        <v>1</v>
      </c>
      <c r="W398">
        <v>0</v>
      </c>
      <c r="X398">
        <v>-185737400</v>
      </c>
      <c r="Y398">
        <f t="shared" si="152"/>
        <v>1.53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1</v>
      </c>
      <c r="AJ398">
        <v>1</v>
      </c>
      <c r="AK398">
        <v>1</v>
      </c>
      <c r="AL398">
        <v>1</v>
      </c>
      <c r="AM398">
        <v>-2</v>
      </c>
      <c r="AN398">
        <v>0</v>
      </c>
      <c r="AO398">
        <v>1</v>
      </c>
      <c r="AP398">
        <v>1</v>
      </c>
      <c r="AQ398">
        <v>0</v>
      </c>
      <c r="AR398">
        <v>0</v>
      </c>
      <c r="AS398" t="s">
        <v>3</v>
      </c>
      <c r="AT398">
        <v>1.53</v>
      </c>
      <c r="AU398" t="s">
        <v>3</v>
      </c>
      <c r="AV398">
        <v>2</v>
      </c>
      <c r="AW398">
        <v>2</v>
      </c>
      <c r="AX398">
        <v>94802448</v>
      </c>
      <c r="AY398">
        <v>1</v>
      </c>
      <c r="AZ398">
        <v>0</v>
      </c>
      <c r="BA398">
        <v>398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V398">
        <v>0</v>
      </c>
      <c r="CW398">
        <v>0</v>
      </c>
      <c r="CX398">
        <f>ROUND(Y398*Source!I434,9)</f>
        <v>0</v>
      </c>
      <c r="CY398">
        <f>AD398</f>
        <v>0</v>
      </c>
      <c r="CZ398">
        <f>AH398</f>
        <v>0</v>
      </c>
      <c r="DA398">
        <f>AL398</f>
        <v>1</v>
      </c>
      <c r="DB398">
        <f t="shared" si="153"/>
        <v>0</v>
      </c>
      <c r="DC398">
        <f t="shared" si="154"/>
        <v>0</v>
      </c>
      <c r="DD398" t="s">
        <v>3</v>
      </c>
      <c r="DE398" t="s">
        <v>3</v>
      </c>
      <c r="DF398">
        <f t="shared" si="178"/>
        <v>0</v>
      </c>
      <c r="DG398">
        <f t="shared" si="175"/>
        <v>0</v>
      </c>
      <c r="DH398">
        <f t="shared" si="176"/>
        <v>0</v>
      </c>
      <c r="DI398">
        <f t="shared" si="170"/>
        <v>0</v>
      </c>
      <c r="DJ398">
        <f>DI398</f>
        <v>0</v>
      </c>
      <c r="DK398">
        <v>0</v>
      </c>
      <c r="DL398" t="s">
        <v>3</v>
      </c>
      <c r="DM398">
        <v>0</v>
      </c>
      <c r="DN398" t="s">
        <v>3</v>
      </c>
      <c r="DO398">
        <v>0</v>
      </c>
    </row>
    <row r="399" spans="1:119" x14ac:dyDescent="0.2">
      <c r="A399">
        <f>ROW(Source!A434)</f>
        <v>434</v>
      </c>
      <c r="B399">
        <v>94798619</v>
      </c>
      <c r="C399">
        <v>94802420</v>
      </c>
      <c r="D399">
        <v>37802515</v>
      </c>
      <c r="E399">
        <v>1</v>
      </c>
      <c r="F399">
        <v>1</v>
      </c>
      <c r="G399">
        <v>1</v>
      </c>
      <c r="H399">
        <v>2</v>
      </c>
      <c r="I399" t="s">
        <v>774</v>
      </c>
      <c r="J399" t="s">
        <v>775</v>
      </c>
      <c r="K399" t="s">
        <v>776</v>
      </c>
      <c r="L399">
        <v>1368</v>
      </c>
      <c r="N399">
        <v>1011</v>
      </c>
      <c r="O399" t="s">
        <v>700</v>
      </c>
      <c r="P399" t="s">
        <v>700</v>
      </c>
      <c r="Q399">
        <v>1</v>
      </c>
      <c r="W399">
        <v>0</v>
      </c>
      <c r="X399">
        <v>-674318163</v>
      </c>
      <c r="Y399">
        <f t="shared" si="152"/>
        <v>0.25</v>
      </c>
      <c r="AA399">
        <v>0</v>
      </c>
      <c r="AB399">
        <v>2230.73</v>
      </c>
      <c r="AC399">
        <v>317.43</v>
      </c>
      <c r="AD399">
        <v>0</v>
      </c>
      <c r="AE399">
        <v>0</v>
      </c>
      <c r="AF399">
        <v>87.24</v>
      </c>
      <c r="AG399">
        <v>9</v>
      </c>
      <c r="AH399">
        <v>0</v>
      </c>
      <c r="AI399">
        <v>1</v>
      </c>
      <c r="AJ399">
        <v>25.57</v>
      </c>
      <c r="AK399">
        <v>35.270000000000003</v>
      </c>
      <c r="AL399">
        <v>1</v>
      </c>
      <c r="AM399">
        <v>2</v>
      </c>
      <c r="AN399">
        <v>0</v>
      </c>
      <c r="AO399">
        <v>1</v>
      </c>
      <c r="AP399">
        <v>1</v>
      </c>
      <c r="AQ399">
        <v>0</v>
      </c>
      <c r="AR399">
        <v>0</v>
      </c>
      <c r="AS399" t="s">
        <v>3</v>
      </c>
      <c r="AT399">
        <v>0.25</v>
      </c>
      <c r="AU399" t="s">
        <v>3</v>
      </c>
      <c r="AV399">
        <v>0</v>
      </c>
      <c r="AW399">
        <v>2</v>
      </c>
      <c r="AX399">
        <v>94802449</v>
      </c>
      <c r="AY399">
        <v>1</v>
      </c>
      <c r="AZ399">
        <v>0</v>
      </c>
      <c r="BA399">
        <v>399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V399">
        <v>0</v>
      </c>
      <c r="CW399">
        <f>ROUND(Y399*Source!I434*DO399,9)</f>
        <v>0</v>
      </c>
      <c r="CX399">
        <f>ROUND(Y399*Source!I434,9)</f>
        <v>0</v>
      </c>
      <c r="CY399">
        <f t="shared" ref="CY399:CY407" si="179">AB399</f>
        <v>2230.73</v>
      </c>
      <c r="CZ399">
        <f t="shared" ref="CZ399:CZ407" si="180">AF399</f>
        <v>87.24</v>
      </c>
      <c r="DA399">
        <f t="shared" ref="DA399:DA407" si="181">AJ399</f>
        <v>25.57</v>
      </c>
      <c r="DB399">
        <f t="shared" si="153"/>
        <v>21.81</v>
      </c>
      <c r="DC399">
        <f t="shared" si="154"/>
        <v>2.25</v>
      </c>
      <c r="DD399" t="s">
        <v>3</v>
      </c>
      <c r="DE399" t="s">
        <v>3</v>
      </c>
      <c r="DF399">
        <f t="shared" si="178"/>
        <v>0</v>
      </c>
      <c r="DG399">
        <f t="shared" ref="DG399:DG407" si="182">ROUND(ROUND(AF399*AJ399,2)*CX399,2)</f>
        <v>0</v>
      </c>
      <c r="DH399">
        <f t="shared" ref="DH399:DH407" si="183">ROUND(ROUND(AG399*AK399,2)*CX399,2)</f>
        <v>0</v>
      </c>
      <c r="DI399">
        <f t="shared" si="170"/>
        <v>0</v>
      </c>
      <c r="DJ399">
        <f t="shared" ref="DJ399:DJ407" si="184">DG399</f>
        <v>0</v>
      </c>
      <c r="DK399">
        <v>0</v>
      </c>
      <c r="DL399" t="s">
        <v>3</v>
      </c>
      <c r="DM399">
        <v>0</v>
      </c>
      <c r="DN399" t="s">
        <v>3</v>
      </c>
      <c r="DO399">
        <v>0</v>
      </c>
    </row>
    <row r="400" spans="1:119" x14ac:dyDescent="0.2">
      <c r="A400">
        <f>ROW(Source!A434)</f>
        <v>434</v>
      </c>
      <c r="B400">
        <v>94798619</v>
      </c>
      <c r="C400">
        <v>94802420</v>
      </c>
      <c r="D400">
        <v>37803048</v>
      </c>
      <c r="E400">
        <v>1</v>
      </c>
      <c r="F400">
        <v>1</v>
      </c>
      <c r="G400">
        <v>1</v>
      </c>
      <c r="H400">
        <v>2</v>
      </c>
      <c r="I400" t="s">
        <v>1021</v>
      </c>
      <c r="J400" t="s">
        <v>1022</v>
      </c>
      <c r="K400" t="s">
        <v>1023</v>
      </c>
      <c r="L400">
        <v>1368</v>
      </c>
      <c r="N400">
        <v>1011</v>
      </c>
      <c r="O400" t="s">
        <v>700</v>
      </c>
      <c r="P400" t="s">
        <v>700</v>
      </c>
      <c r="Q400">
        <v>1</v>
      </c>
      <c r="W400">
        <v>0</v>
      </c>
      <c r="X400">
        <v>1418156664</v>
      </c>
      <c r="Y400">
        <f t="shared" si="152"/>
        <v>0.28999999999999998</v>
      </c>
      <c r="AA400">
        <v>0</v>
      </c>
      <c r="AB400">
        <v>2581.91</v>
      </c>
      <c r="AC400">
        <v>426.77</v>
      </c>
      <c r="AD400">
        <v>0</v>
      </c>
      <c r="AE400">
        <v>0</v>
      </c>
      <c r="AF400">
        <v>214.98</v>
      </c>
      <c r="AG400">
        <v>12.1</v>
      </c>
      <c r="AH400">
        <v>0</v>
      </c>
      <c r="AI400">
        <v>1</v>
      </c>
      <c r="AJ400">
        <v>12.01</v>
      </c>
      <c r="AK400">
        <v>35.270000000000003</v>
      </c>
      <c r="AL400">
        <v>1</v>
      </c>
      <c r="AM400">
        <v>2</v>
      </c>
      <c r="AN400">
        <v>0</v>
      </c>
      <c r="AO400">
        <v>1</v>
      </c>
      <c r="AP400">
        <v>1</v>
      </c>
      <c r="AQ400">
        <v>0</v>
      </c>
      <c r="AR400">
        <v>0</v>
      </c>
      <c r="AS400" t="s">
        <v>3</v>
      </c>
      <c r="AT400">
        <v>0.28999999999999998</v>
      </c>
      <c r="AU400" t="s">
        <v>3</v>
      </c>
      <c r="AV400">
        <v>0</v>
      </c>
      <c r="AW400">
        <v>2</v>
      </c>
      <c r="AX400">
        <v>94802450</v>
      </c>
      <c r="AY400">
        <v>1</v>
      </c>
      <c r="AZ400">
        <v>0</v>
      </c>
      <c r="BA400">
        <v>400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V400">
        <v>0</v>
      </c>
      <c r="CW400">
        <f>ROUND(Y400*Source!I434*DO400,9)</f>
        <v>0</v>
      </c>
      <c r="CX400">
        <f>ROUND(Y400*Source!I434,9)</f>
        <v>0</v>
      </c>
      <c r="CY400">
        <f t="shared" si="179"/>
        <v>2581.91</v>
      </c>
      <c r="CZ400">
        <f t="shared" si="180"/>
        <v>214.98</v>
      </c>
      <c r="DA400">
        <f t="shared" si="181"/>
        <v>12.01</v>
      </c>
      <c r="DB400">
        <f t="shared" si="153"/>
        <v>62.34</v>
      </c>
      <c r="DC400">
        <f t="shared" si="154"/>
        <v>3.51</v>
      </c>
      <c r="DD400" t="s">
        <v>3</v>
      </c>
      <c r="DE400" t="s">
        <v>3</v>
      </c>
      <c r="DF400">
        <f t="shared" si="178"/>
        <v>0</v>
      </c>
      <c r="DG400">
        <f t="shared" si="182"/>
        <v>0</v>
      </c>
      <c r="DH400">
        <f t="shared" si="183"/>
        <v>0</v>
      </c>
      <c r="DI400">
        <f t="shared" si="170"/>
        <v>0</v>
      </c>
      <c r="DJ400">
        <f t="shared" si="184"/>
        <v>0</v>
      </c>
      <c r="DK400">
        <v>0</v>
      </c>
      <c r="DL400" t="s">
        <v>3</v>
      </c>
      <c r="DM400">
        <v>0</v>
      </c>
      <c r="DN400" t="s">
        <v>3</v>
      </c>
      <c r="DO400">
        <v>0</v>
      </c>
    </row>
    <row r="401" spans="1:119" x14ac:dyDescent="0.2">
      <c r="A401">
        <f>ROW(Source!A434)</f>
        <v>434</v>
      </c>
      <c r="B401">
        <v>94798619</v>
      </c>
      <c r="C401">
        <v>94802420</v>
      </c>
      <c r="D401">
        <v>37803071</v>
      </c>
      <c r="E401">
        <v>1</v>
      </c>
      <c r="F401">
        <v>1</v>
      </c>
      <c r="G401">
        <v>1</v>
      </c>
      <c r="H401">
        <v>2</v>
      </c>
      <c r="I401" t="s">
        <v>1024</v>
      </c>
      <c r="J401" t="s">
        <v>1025</v>
      </c>
      <c r="K401" t="s">
        <v>1026</v>
      </c>
      <c r="L401">
        <v>1368</v>
      </c>
      <c r="N401">
        <v>1011</v>
      </c>
      <c r="O401" t="s">
        <v>700</v>
      </c>
      <c r="P401" t="s">
        <v>700</v>
      </c>
      <c r="Q401">
        <v>1</v>
      </c>
      <c r="W401">
        <v>0</v>
      </c>
      <c r="X401">
        <v>-835599869</v>
      </c>
      <c r="Y401">
        <f t="shared" si="152"/>
        <v>0.46</v>
      </c>
      <c r="AA401">
        <v>0</v>
      </c>
      <c r="AB401">
        <v>2835.05</v>
      </c>
      <c r="AC401">
        <v>454.98</v>
      </c>
      <c r="AD401">
        <v>0</v>
      </c>
      <c r="AE401">
        <v>0</v>
      </c>
      <c r="AF401">
        <v>467.83</v>
      </c>
      <c r="AG401">
        <v>12.9</v>
      </c>
      <c r="AH401">
        <v>0</v>
      </c>
      <c r="AI401">
        <v>1</v>
      </c>
      <c r="AJ401">
        <v>6.06</v>
      </c>
      <c r="AK401">
        <v>35.270000000000003</v>
      </c>
      <c r="AL401">
        <v>1</v>
      </c>
      <c r="AM401">
        <v>2</v>
      </c>
      <c r="AN401">
        <v>0</v>
      </c>
      <c r="AO401">
        <v>1</v>
      </c>
      <c r="AP401">
        <v>1</v>
      </c>
      <c r="AQ401">
        <v>0</v>
      </c>
      <c r="AR401">
        <v>0</v>
      </c>
      <c r="AS401" t="s">
        <v>3</v>
      </c>
      <c r="AT401">
        <v>0.46</v>
      </c>
      <c r="AU401" t="s">
        <v>3</v>
      </c>
      <c r="AV401">
        <v>0</v>
      </c>
      <c r="AW401">
        <v>2</v>
      </c>
      <c r="AX401">
        <v>94802451</v>
      </c>
      <c r="AY401">
        <v>1</v>
      </c>
      <c r="AZ401">
        <v>0</v>
      </c>
      <c r="BA401">
        <v>401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V401">
        <v>0</v>
      </c>
      <c r="CW401">
        <f>ROUND(Y401*Source!I434*DO401,9)</f>
        <v>0</v>
      </c>
      <c r="CX401">
        <f>ROUND(Y401*Source!I434,9)</f>
        <v>0</v>
      </c>
      <c r="CY401">
        <f t="shared" si="179"/>
        <v>2835.05</v>
      </c>
      <c r="CZ401">
        <f t="shared" si="180"/>
        <v>467.83</v>
      </c>
      <c r="DA401">
        <f t="shared" si="181"/>
        <v>6.06</v>
      </c>
      <c r="DB401">
        <f t="shared" si="153"/>
        <v>215.2</v>
      </c>
      <c r="DC401">
        <f t="shared" si="154"/>
        <v>5.93</v>
      </c>
      <c r="DD401" t="s">
        <v>3</v>
      </c>
      <c r="DE401" t="s">
        <v>3</v>
      </c>
      <c r="DF401">
        <f t="shared" si="178"/>
        <v>0</v>
      </c>
      <c r="DG401">
        <f t="shared" si="182"/>
        <v>0</v>
      </c>
      <c r="DH401">
        <f t="shared" si="183"/>
        <v>0</v>
      </c>
      <c r="DI401">
        <f t="shared" si="170"/>
        <v>0</v>
      </c>
      <c r="DJ401">
        <f t="shared" si="184"/>
        <v>0</v>
      </c>
      <c r="DK401">
        <v>0</v>
      </c>
      <c r="DL401" t="s">
        <v>3</v>
      </c>
      <c r="DM401">
        <v>0</v>
      </c>
      <c r="DN401" t="s">
        <v>3</v>
      </c>
      <c r="DO401">
        <v>0</v>
      </c>
    </row>
    <row r="402" spans="1:119" x14ac:dyDescent="0.2">
      <c r="A402">
        <f>ROW(Source!A434)</f>
        <v>434</v>
      </c>
      <c r="B402">
        <v>94798619</v>
      </c>
      <c r="C402">
        <v>94802420</v>
      </c>
      <c r="D402">
        <v>37804095</v>
      </c>
      <c r="E402">
        <v>1</v>
      </c>
      <c r="F402">
        <v>1</v>
      </c>
      <c r="G402">
        <v>1</v>
      </c>
      <c r="H402">
        <v>2</v>
      </c>
      <c r="I402" t="s">
        <v>766</v>
      </c>
      <c r="J402" t="s">
        <v>767</v>
      </c>
      <c r="K402" t="s">
        <v>768</v>
      </c>
      <c r="L402">
        <v>1368</v>
      </c>
      <c r="N402">
        <v>1011</v>
      </c>
      <c r="O402" t="s">
        <v>700</v>
      </c>
      <c r="P402" t="s">
        <v>700</v>
      </c>
      <c r="Q402">
        <v>1</v>
      </c>
      <c r="W402">
        <v>0</v>
      </c>
      <c r="X402">
        <v>1159152410</v>
      </c>
      <c r="Y402">
        <f t="shared" si="152"/>
        <v>0.11</v>
      </c>
      <c r="AA402">
        <v>0</v>
      </c>
      <c r="AB402">
        <v>8.8699999999999992</v>
      </c>
      <c r="AC402">
        <v>0</v>
      </c>
      <c r="AD402">
        <v>0</v>
      </c>
      <c r="AE402">
        <v>0</v>
      </c>
      <c r="AF402">
        <v>1.69</v>
      </c>
      <c r="AG402">
        <v>0</v>
      </c>
      <c r="AH402">
        <v>0</v>
      </c>
      <c r="AI402">
        <v>1</v>
      </c>
      <c r="AJ402">
        <v>5.25</v>
      </c>
      <c r="AK402">
        <v>35.270000000000003</v>
      </c>
      <c r="AL402">
        <v>1</v>
      </c>
      <c r="AM402">
        <v>2</v>
      </c>
      <c r="AN402">
        <v>0</v>
      </c>
      <c r="AO402">
        <v>1</v>
      </c>
      <c r="AP402">
        <v>1</v>
      </c>
      <c r="AQ402">
        <v>0</v>
      </c>
      <c r="AR402">
        <v>0</v>
      </c>
      <c r="AS402" t="s">
        <v>3</v>
      </c>
      <c r="AT402">
        <v>0.11</v>
      </c>
      <c r="AU402" t="s">
        <v>3</v>
      </c>
      <c r="AV402">
        <v>0</v>
      </c>
      <c r="AW402">
        <v>2</v>
      </c>
      <c r="AX402">
        <v>94802452</v>
      </c>
      <c r="AY402">
        <v>1</v>
      </c>
      <c r="AZ402">
        <v>0</v>
      </c>
      <c r="BA402">
        <v>402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V402">
        <v>0</v>
      </c>
      <c r="CW402">
        <f>ROUND(Y402*Source!I434*DO402,9)</f>
        <v>0</v>
      </c>
      <c r="CX402">
        <f>ROUND(Y402*Source!I434,9)</f>
        <v>0</v>
      </c>
      <c r="CY402">
        <f t="shared" si="179"/>
        <v>8.8699999999999992</v>
      </c>
      <c r="CZ402">
        <f t="shared" si="180"/>
        <v>1.69</v>
      </c>
      <c r="DA402">
        <f t="shared" si="181"/>
        <v>5.25</v>
      </c>
      <c r="DB402">
        <f t="shared" si="153"/>
        <v>0.19</v>
      </c>
      <c r="DC402">
        <f t="shared" si="154"/>
        <v>0</v>
      </c>
      <c r="DD402" t="s">
        <v>3</v>
      </c>
      <c r="DE402" t="s">
        <v>3</v>
      </c>
      <c r="DF402">
        <f t="shared" si="178"/>
        <v>0</v>
      </c>
      <c r="DG402">
        <f t="shared" si="182"/>
        <v>0</v>
      </c>
      <c r="DH402">
        <f t="shared" si="183"/>
        <v>0</v>
      </c>
      <c r="DI402">
        <f t="shared" si="170"/>
        <v>0</v>
      </c>
      <c r="DJ402">
        <f t="shared" si="184"/>
        <v>0</v>
      </c>
      <c r="DK402">
        <v>0</v>
      </c>
      <c r="DL402" t="s">
        <v>3</v>
      </c>
      <c r="DM402">
        <v>0</v>
      </c>
      <c r="DN402" t="s">
        <v>3</v>
      </c>
      <c r="DO402">
        <v>0</v>
      </c>
    </row>
    <row r="403" spans="1:119" x14ac:dyDescent="0.2">
      <c r="A403">
        <f>ROW(Source!A434)</f>
        <v>434</v>
      </c>
      <c r="B403">
        <v>94798619</v>
      </c>
      <c r="C403">
        <v>94802420</v>
      </c>
      <c r="D403">
        <v>37804342</v>
      </c>
      <c r="E403">
        <v>1</v>
      </c>
      <c r="F403">
        <v>1</v>
      </c>
      <c r="G403">
        <v>1</v>
      </c>
      <c r="H403">
        <v>2</v>
      </c>
      <c r="I403" t="s">
        <v>1033</v>
      </c>
      <c r="J403" t="s">
        <v>1034</v>
      </c>
      <c r="K403" t="s">
        <v>1035</v>
      </c>
      <c r="L403">
        <v>1368</v>
      </c>
      <c r="N403">
        <v>1011</v>
      </c>
      <c r="O403" t="s">
        <v>700</v>
      </c>
      <c r="P403" t="s">
        <v>700</v>
      </c>
      <c r="Q403">
        <v>1</v>
      </c>
      <c r="W403">
        <v>0</v>
      </c>
      <c r="X403">
        <v>-858108001</v>
      </c>
      <c r="Y403">
        <f t="shared" si="152"/>
        <v>0.19</v>
      </c>
      <c r="AA403">
        <v>0</v>
      </c>
      <c r="AB403">
        <v>3841.1</v>
      </c>
      <c r="AC403">
        <v>519.16999999999996</v>
      </c>
      <c r="AD403">
        <v>0</v>
      </c>
      <c r="AE403">
        <v>0</v>
      </c>
      <c r="AF403">
        <v>777.55</v>
      </c>
      <c r="AG403">
        <v>14.72</v>
      </c>
      <c r="AH403">
        <v>0</v>
      </c>
      <c r="AI403">
        <v>1</v>
      </c>
      <c r="AJ403">
        <v>4.9400000000000004</v>
      </c>
      <c r="AK403">
        <v>35.270000000000003</v>
      </c>
      <c r="AL403">
        <v>1</v>
      </c>
      <c r="AM403">
        <v>2</v>
      </c>
      <c r="AN403">
        <v>0</v>
      </c>
      <c r="AO403">
        <v>1</v>
      </c>
      <c r="AP403">
        <v>1</v>
      </c>
      <c r="AQ403">
        <v>0</v>
      </c>
      <c r="AR403">
        <v>0</v>
      </c>
      <c r="AS403" t="s">
        <v>3</v>
      </c>
      <c r="AT403">
        <v>0.19</v>
      </c>
      <c r="AU403" t="s">
        <v>3</v>
      </c>
      <c r="AV403">
        <v>0</v>
      </c>
      <c r="AW403">
        <v>2</v>
      </c>
      <c r="AX403">
        <v>94802453</v>
      </c>
      <c r="AY403">
        <v>1</v>
      </c>
      <c r="AZ403">
        <v>0</v>
      </c>
      <c r="BA403">
        <v>403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V403">
        <v>0</v>
      </c>
      <c r="CW403">
        <f>ROUND(Y403*Source!I434*DO403,9)</f>
        <v>0</v>
      </c>
      <c r="CX403">
        <f>ROUND(Y403*Source!I434,9)</f>
        <v>0</v>
      </c>
      <c r="CY403">
        <f t="shared" si="179"/>
        <v>3841.1</v>
      </c>
      <c r="CZ403">
        <f t="shared" si="180"/>
        <v>777.55</v>
      </c>
      <c r="DA403">
        <f t="shared" si="181"/>
        <v>4.9400000000000004</v>
      </c>
      <c r="DB403">
        <f t="shared" si="153"/>
        <v>147.72999999999999</v>
      </c>
      <c r="DC403">
        <f t="shared" si="154"/>
        <v>2.8</v>
      </c>
      <c r="DD403" t="s">
        <v>3</v>
      </c>
      <c r="DE403" t="s">
        <v>3</v>
      </c>
      <c r="DF403">
        <f t="shared" si="178"/>
        <v>0</v>
      </c>
      <c r="DG403">
        <f t="shared" si="182"/>
        <v>0</v>
      </c>
      <c r="DH403">
        <f t="shared" si="183"/>
        <v>0</v>
      </c>
      <c r="DI403">
        <f t="shared" si="170"/>
        <v>0</v>
      </c>
      <c r="DJ403">
        <f t="shared" si="184"/>
        <v>0</v>
      </c>
      <c r="DK403">
        <v>0</v>
      </c>
      <c r="DL403" t="s">
        <v>3</v>
      </c>
      <c r="DM403">
        <v>0</v>
      </c>
      <c r="DN403" t="s">
        <v>3</v>
      </c>
      <c r="DO403">
        <v>0</v>
      </c>
    </row>
    <row r="404" spans="1:119" x14ac:dyDescent="0.2">
      <c r="A404">
        <f>ROW(Source!A434)</f>
        <v>434</v>
      </c>
      <c r="B404">
        <v>94798619</v>
      </c>
      <c r="C404">
        <v>94802420</v>
      </c>
      <c r="D404">
        <v>37804346</v>
      </c>
      <c r="E404">
        <v>1</v>
      </c>
      <c r="F404">
        <v>1</v>
      </c>
      <c r="G404">
        <v>1</v>
      </c>
      <c r="H404">
        <v>2</v>
      </c>
      <c r="I404" t="s">
        <v>1039</v>
      </c>
      <c r="J404" t="s">
        <v>1040</v>
      </c>
      <c r="K404" t="s">
        <v>1041</v>
      </c>
      <c r="L404">
        <v>1368</v>
      </c>
      <c r="N404">
        <v>1011</v>
      </c>
      <c r="O404" t="s">
        <v>700</v>
      </c>
      <c r="P404" t="s">
        <v>700</v>
      </c>
      <c r="Q404">
        <v>1</v>
      </c>
      <c r="W404">
        <v>0</v>
      </c>
      <c r="X404">
        <v>-1838412179</v>
      </c>
      <c r="Y404">
        <f t="shared" si="152"/>
        <v>0.23</v>
      </c>
      <c r="AA404">
        <v>0</v>
      </c>
      <c r="AB404">
        <v>1900.67</v>
      </c>
      <c r="AC404">
        <v>426.77</v>
      </c>
      <c r="AD404">
        <v>0</v>
      </c>
      <c r="AE404">
        <v>0</v>
      </c>
      <c r="AF404">
        <v>526.5</v>
      </c>
      <c r="AG404">
        <v>12.1</v>
      </c>
      <c r="AH404">
        <v>0</v>
      </c>
      <c r="AI404">
        <v>1</v>
      </c>
      <c r="AJ404">
        <v>3.61</v>
      </c>
      <c r="AK404">
        <v>35.270000000000003</v>
      </c>
      <c r="AL404">
        <v>1</v>
      </c>
      <c r="AM404">
        <v>2</v>
      </c>
      <c r="AN404">
        <v>0</v>
      </c>
      <c r="AO404">
        <v>1</v>
      </c>
      <c r="AP404">
        <v>1</v>
      </c>
      <c r="AQ404">
        <v>0</v>
      </c>
      <c r="AR404">
        <v>0</v>
      </c>
      <c r="AS404" t="s">
        <v>3</v>
      </c>
      <c r="AT404">
        <v>0.23</v>
      </c>
      <c r="AU404" t="s">
        <v>3</v>
      </c>
      <c r="AV404">
        <v>0</v>
      </c>
      <c r="AW404">
        <v>2</v>
      </c>
      <c r="AX404">
        <v>94802454</v>
      </c>
      <c r="AY404">
        <v>1</v>
      </c>
      <c r="AZ404">
        <v>0</v>
      </c>
      <c r="BA404">
        <v>404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V404">
        <v>0</v>
      </c>
      <c r="CW404">
        <f>ROUND(Y404*Source!I434*DO404,9)</f>
        <v>0</v>
      </c>
      <c r="CX404">
        <f>ROUND(Y404*Source!I434,9)</f>
        <v>0</v>
      </c>
      <c r="CY404">
        <f t="shared" si="179"/>
        <v>1900.67</v>
      </c>
      <c r="CZ404">
        <f t="shared" si="180"/>
        <v>526.5</v>
      </c>
      <c r="DA404">
        <f t="shared" si="181"/>
        <v>3.61</v>
      </c>
      <c r="DB404">
        <f t="shared" si="153"/>
        <v>121.1</v>
      </c>
      <c r="DC404">
        <f t="shared" si="154"/>
        <v>2.78</v>
      </c>
      <c r="DD404" t="s">
        <v>3</v>
      </c>
      <c r="DE404" t="s">
        <v>3</v>
      </c>
      <c r="DF404">
        <f t="shared" si="178"/>
        <v>0</v>
      </c>
      <c r="DG404">
        <f t="shared" si="182"/>
        <v>0</v>
      </c>
      <c r="DH404">
        <f t="shared" si="183"/>
        <v>0</v>
      </c>
      <c r="DI404">
        <f t="shared" si="170"/>
        <v>0</v>
      </c>
      <c r="DJ404">
        <f t="shared" si="184"/>
        <v>0</v>
      </c>
      <c r="DK404">
        <v>0</v>
      </c>
      <c r="DL404" t="s">
        <v>3</v>
      </c>
      <c r="DM404">
        <v>0</v>
      </c>
      <c r="DN404" t="s">
        <v>3</v>
      </c>
      <c r="DO404">
        <v>0</v>
      </c>
    </row>
    <row r="405" spans="1:119" x14ac:dyDescent="0.2">
      <c r="A405">
        <f>ROW(Source!A434)</f>
        <v>434</v>
      </c>
      <c r="B405">
        <v>94798619</v>
      </c>
      <c r="C405">
        <v>94802420</v>
      </c>
      <c r="D405">
        <v>37804368</v>
      </c>
      <c r="E405">
        <v>1</v>
      </c>
      <c r="F405">
        <v>1</v>
      </c>
      <c r="G405">
        <v>1</v>
      </c>
      <c r="H405">
        <v>2</v>
      </c>
      <c r="I405" t="s">
        <v>1042</v>
      </c>
      <c r="J405" t="s">
        <v>1043</v>
      </c>
      <c r="K405" t="s">
        <v>1044</v>
      </c>
      <c r="L405">
        <v>1368</v>
      </c>
      <c r="N405">
        <v>1011</v>
      </c>
      <c r="O405" t="s">
        <v>700</v>
      </c>
      <c r="P405" t="s">
        <v>700</v>
      </c>
      <c r="Q405">
        <v>1</v>
      </c>
      <c r="W405">
        <v>0</v>
      </c>
      <c r="X405">
        <v>1233998622</v>
      </c>
      <c r="Y405">
        <f t="shared" si="152"/>
        <v>0.11</v>
      </c>
      <c r="AA405">
        <v>0</v>
      </c>
      <c r="AB405">
        <v>1788.75</v>
      </c>
      <c r="AC405">
        <v>317.43</v>
      </c>
      <c r="AD405">
        <v>0</v>
      </c>
      <c r="AE405">
        <v>0</v>
      </c>
      <c r="AF405">
        <v>221.38</v>
      </c>
      <c r="AG405">
        <v>9</v>
      </c>
      <c r="AH405">
        <v>0</v>
      </c>
      <c r="AI405">
        <v>1</v>
      </c>
      <c r="AJ405">
        <v>8.08</v>
      </c>
      <c r="AK405">
        <v>35.270000000000003</v>
      </c>
      <c r="AL405">
        <v>1</v>
      </c>
      <c r="AM405">
        <v>2</v>
      </c>
      <c r="AN405">
        <v>0</v>
      </c>
      <c r="AO405">
        <v>1</v>
      </c>
      <c r="AP405">
        <v>1</v>
      </c>
      <c r="AQ405">
        <v>0</v>
      </c>
      <c r="AR405">
        <v>0</v>
      </c>
      <c r="AS405" t="s">
        <v>3</v>
      </c>
      <c r="AT405">
        <v>0.11</v>
      </c>
      <c r="AU405" t="s">
        <v>3</v>
      </c>
      <c r="AV405">
        <v>0</v>
      </c>
      <c r="AW405">
        <v>2</v>
      </c>
      <c r="AX405">
        <v>94802455</v>
      </c>
      <c r="AY405">
        <v>1</v>
      </c>
      <c r="AZ405">
        <v>0</v>
      </c>
      <c r="BA405">
        <v>405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V405">
        <v>0</v>
      </c>
      <c r="CW405">
        <f>ROUND(Y405*Source!I434*DO405,9)</f>
        <v>0</v>
      </c>
      <c r="CX405">
        <f>ROUND(Y405*Source!I434,9)</f>
        <v>0</v>
      </c>
      <c r="CY405">
        <f t="shared" si="179"/>
        <v>1788.75</v>
      </c>
      <c r="CZ405">
        <f t="shared" si="180"/>
        <v>221.38</v>
      </c>
      <c r="DA405">
        <f t="shared" si="181"/>
        <v>8.08</v>
      </c>
      <c r="DB405">
        <f t="shared" si="153"/>
        <v>24.35</v>
      </c>
      <c r="DC405">
        <f t="shared" si="154"/>
        <v>0.99</v>
      </c>
      <c r="DD405" t="s">
        <v>3</v>
      </c>
      <c r="DE405" t="s">
        <v>3</v>
      </c>
      <c r="DF405">
        <f t="shared" si="178"/>
        <v>0</v>
      </c>
      <c r="DG405">
        <f t="shared" si="182"/>
        <v>0</v>
      </c>
      <c r="DH405">
        <f t="shared" si="183"/>
        <v>0</v>
      </c>
      <c r="DI405">
        <f t="shared" si="170"/>
        <v>0</v>
      </c>
      <c r="DJ405">
        <f t="shared" si="184"/>
        <v>0</v>
      </c>
      <c r="DK405">
        <v>0</v>
      </c>
      <c r="DL405" t="s">
        <v>3</v>
      </c>
      <c r="DM405">
        <v>0</v>
      </c>
      <c r="DN405" t="s">
        <v>3</v>
      </c>
      <c r="DO405">
        <v>0</v>
      </c>
    </row>
    <row r="406" spans="1:119" x14ac:dyDescent="0.2">
      <c r="A406">
        <f>ROW(Source!A434)</f>
        <v>434</v>
      </c>
      <c r="B406">
        <v>94798619</v>
      </c>
      <c r="C406">
        <v>94802420</v>
      </c>
      <c r="D406">
        <v>37804410</v>
      </c>
      <c r="E406">
        <v>1</v>
      </c>
      <c r="F406">
        <v>1</v>
      </c>
      <c r="G406">
        <v>1</v>
      </c>
      <c r="H406">
        <v>2</v>
      </c>
      <c r="I406" t="s">
        <v>1045</v>
      </c>
      <c r="J406" t="s">
        <v>1046</v>
      </c>
      <c r="K406" t="s">
        <v>1047</v>
      </c>
      <c r="L406">
        <v>1368</v>
      </c>
      <c r="N406">
        <v>1011</v>
      </c>
      <c r="O406" t="s">
        <v>700</v>
      </c>
      <c r="P406" t="s">
        <v>700</v>
      </c>
      <c r="Q406">
        <v>1</v>
      </c>
      <c r="W406">
        <v>0</v>
      </c>
      <c r="X406">
        <v>-489009791</v>
      </c>
      <c r="Y406">
        <f t="shared" si="152"/>
        <v>0.36</v>
      </c>
      <c r="AA406">
        <v>0</v>
      </c>
      <c r="AB406">
        <v>824.2</v>
      </c>
      <c r="AC406">
        <v>0</v>
      </c>
      <c r="AD406">
        <v>0</v>
      </c>
      <c r="AE406">
        <v>0</v>
      </c>
      <c r="AF406">
        <v>256.76</v>
      </c>
      <c r="AG406">
        <v>0</v>
      </c>
      <c r="AH406">
        <v>0</v>
      </c>
      <c r="AI406">
        <v>1</v>
      </c>
      <c r="AJ406">
        <v>3.21</v>
      </c>
      <c r="AK406">
        <v>35.270000000000003</v>
      </c>
      <c r="AL406">
        <v>1</v>
      </c>
      <c r="AM406">
        <v>2</v>
      </c>
      <c r="AN406">
        <v>0</v>
      </c>
      <c r="AO406">
        <v>1</v>
      </c>
      <c r="AP406">
        <v>1</v>
      </c>
      <c r="AQ406">
        <v>0</v>
      </c>
      <c r="AR406">
        <v>0</v>
      </c>
      <c r="AS406" t="s">
        <v>3</v>
      </c>
      <c r="AT406">
        <v>0.36</v>
      </c>
      <c r="AU406" t="s">
        <v>3</v>
      </c>
      <c r="AV406">
        <v>0</v>
      </c>
      <c r="AW406">
        <v>2</v>
      </c>
      <c r="AX406">
        <v>94802456</v>
      </c>
      <c r="AY406">
        <v>1</v>
      </c>
      <c r="AZ406">
        <v>0</v>
      </c>
      <c r="BA406">
        <v>406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V406">
        <v>0</v>
      </c>
      <c r="CW406">
        <f>ROUND(Y406*Source!I434*DO406,9)</f>
        <v>0</v>
      </c>
      <c r="CX406">
        <f>ROUND(Y406*Source!I434,9)</f>
        <v>0</v>
      </c>
      <c r="CY406">
        <f t="shared" si="179"/>
        <v>824.2</v>
      </c>
      <c r="CZ406">
        <f t="shared" si="180"/>
        <v>256.76</v>
      </c>
      <c r="DA406">
        <f t="shared" si="181"/>
        <v>3.21</v>
      </c>
      <c r="DB406">
        <f t="shared" si="153"/>
        <v>92.43</v>
      </c>
      <c r="DC406">
        <f t="shared" si="154"/>
        <v>0</v>
      </c>
      <c r="DD406" t="s">
        <v>3</v>
      </c>
      <c r="DE406" t="s">
        <v>3</v>
      </c>
      <c r="DF406">
        <f t="shared" si="178"/>
        <v>0</v>
      </c>
      <c r="DG406">
        <f t="shared" si="182"/>
        <v>0</v>
      </c>
      <c r="DH406">
        <f t="shared" si="183"/>
        <v>0</v>
      </c>
      <c r="DI406">
        <f t="shared" si="170"/>
        <v>0</v>
      </c>
      <c r="DJ406">
        <f t="shared" si="184"/>
        <v>0</v>
      </c>
      <c r="DK406">
        <v>0</v>
      </c>
      <c r="DL406" t="s">
        <v>3</v>
      </c>
      <c r="DM406">
        <v>0</v>
      </c>
      <c r="DN406" t="s">
        <v>3</v>
      </c>
      <c r="DO406">
        <v>0</v>
      </c>
    </row>
    <row r="407" spans="1:119" x14ac:dyDescent="0.2">
      <c r="A407">
        <f>ROW(Source!A434)</f>
        <v>434</v>
      </c>
      <c r="B407">
        <v>94798619</v>
      </c>
      <c r="C407">
        <v>94802420</v>
      </c>
      <c r="D407">
        <v>37804465</v>
      </c>
      <c r="E407">
        <v>1</v>
      </c>
      <c r="F407">
        <v>1</v>
      </c>
      <c r="G407">
        <v>1</v>
      </c>
      <c r="H407">
        <v>2</v>
      </c>
      <c r="I407" t="s">
        <v>1048</v>
      </c>
      <c r="J407" t="s">
        <v>1049</v>
      </c>
      <c r="K407" t="s">
        <v>1050</v>
      </c>
      <c r="L407">
        <v>1368</v>
      </c>
      <c r="N407">
        <v>1011</v>
      </c>
      <c r="O407" t="s">
        <v>700</v>
      </c>
      <c r="P407" t="s">
        <v>700</v>
      </c>
      <c r="Q407">
        <v>1</v>
      </c>
      <c r="W407">
        <v>0</v>
      </c>
      <c r="X407">
        <v>1713113695</v>
      </c>
      <c r="Y407">
        <f t="shared" si="152"/>
        <v>0.19</v>
      </c>
      <c r="AA407">
        <v>0</v>
      </c>
      <c r="AB407">
        <v>1798.49</v>
      </c>
      <c r="AC407">
        <v>426.77</v>
      </c>
      <c r="AD407">
        <v>0</v>
      </c>
      <c r="AE407">
        <v>0</v>
      </c>
      <c r="AF407">
        <v>130.41999999999999</v>
      </c>
      <c r="AG407">
        <v>12.1</v>
      </c>
      <c r="AH407">
        <v>0</v>
      </c>
      <c r="AI407">
        <v>1</v>
      </c>
      <c r="AJ407">
        <v>13.79</v>
      </c>
      <c r="AK407">
        <v>35.270000000000003</v>
      </c>
      <c r="AL407">
        <v>1</v>
      </c>
      <c r="AM407">
        <v>2</v>
      </c>
      <c r="AN407">
        <v>0</v>
      </c>
      <c r="AO407">
        <v>1</v>
      </c>
      <c r="AP407">
        <v>1</v>
      </c>
      <c r="AQ407">
        <v>0</v>
      </c>
      <c r="AR407">
        <v>0</v>
      </c>
      <c r="AS407" t="s">
        <v>3</v>
      </c>
      <c r="AT407">
        <v>0.19</v>
      </c>
      <c r="AU407" t="s">
        <v>3</v>
      </c>
      <c r="AV407">
        <v>0</v>
      </c>
      <c r="AW407">
        <v>2</v>
      </c>
      <c r="AX407">
        <v>94802457</v>
      </c>
      <c r="AY407">
        <v>1</v>
      </c>
      <c r="AZ407">
        <v>0</v>
      </c>
      <c r="BA407">
        <v>407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V407">
        <v>0</v>
      </c>
      <c r="CW407">
        <f>ROUND(Y407*Source!I434*DO407,9)</f>
        <v>0</v>
      </c>
      <c r="CX407">
        <f>ROUND(Y407*Source!I434,9)</f>
        <v>0</v>
      </c>
      <c r="CY407">
        <f t="shared" si="179"/>
        <v>1798.49</v>
      </c>
      <c r="CZ407">
        <f t="shared" si="180"/>
        <v>130.41999999999999</v>
      </c>
      <c r="DA407">
        <f t="shared" si="181"/>
        <v>13.79</v>
      </c>
      <c r="DB407">
        <f t="shared" si="153"/>
        <v>24.78</v>
      </c>
      <c r="DC407">
        <f t="shared" si="154"/>
        <v>2.2999999999999998</v>
      </c>
      <c r="DD407" t="s">
        <v>3</v>
      </c>
      <c r="DE407" t="s">
        <v>3</v>
      </c>
      <c r="DF407">
        <f t="shared" si="178"/>
        <v>0</v>
      </c>
      <c r="DG407">
        <f t="shared" si="182"/>
        <v>0</v>
      </c>
      <c r="DH407">
        <f t="shared" si="183"/>
        <v>0</v>
      </c>
      <c r="DI407">
        <f t="shared" si="170"/>
        <v>0</v>
      </c>
      <c r="DJ407">
        <f t="shared" si="184"/>
        <v>0</v>
      </c>
      <c r="DK407">
        <v>0</v>
      </c>
      <c r="DL407" t="s">
        <v>3</v>
      </c>
      <c r="DM407">
        <v>0</v>
      </c>
      <c r="DN407" t="s">
        <v>3</v>
      </c>
      <c r="DO407">
        <v>0</v>
      </c>
    </row>
    <row r="408" spans="1:119" x14ac:dyDescent="0.2">
      <c r="A408">
        <f>ROW(Source!A435)</f>
        <v>435</v>
      </c>
      <c r="B408">
        <v>94798619</v>
      </c>
      <c r="C408">
        <v>94802368</v>
      </c>
      <c r="D408">
        <v>23134955</v>
      </c>
      <c r="E408">
        <v>1</v>
      </c>
      <c r="F408">
        <v>1</v>
      </c>
      <c r="G408">
        <v>1</v>
      </c>
      <c r="H408">
        <v>1</v>
      </c>
      <c r="I408" t="s">
        <v>772</v>
      </c>
      <c r="J408" t="s">
        <v>3</v>
      </c>
      <c r="K408" t="s">
        <v>773</v>
      </c>
      <c r="L408">
        <v>1369</v>
      </c>
      <c r="N408">
        <v>1013</v>
      </c>
      <c r="O408" t="s">
        <v>696</v>
      </c>
      <c r="P408" t="s">
        <v>696</v>
      </c>
      <c r="Q408">
        <v>1</v>
      </c>
      <c r="W408">
        <v>0</v>
      </c>
      <c r="X408">
        <v>-1698459243</v>
      </c>
      <c r="Y408">
        <f t="shared" si="152"/>
        <v>20.86</v>
      </c>
      <c r="AA408">
        <v>0</v>
      </c>
      <c r="AB408">
        <v>0</v>
      </c>
      <c r="AC408">
        <v>0</v>
      </c>
      <c r="AD408">
        <v>8.17</v>
      </c>
      <c r="AE408">
        <v>0</v>
      </c>
      <c r="AF408">
        <v>0</v>
      </c>
      <c r="AG408">
        <v>0</v>
      </c>
      <c r="AH408">
        <v>8.17</v>
      </c>
      <c r="AI408">
        <v>1</v>
      </c>
      <c r="AJ408">
        <v>1</v>
      </c>
      <c r="AK408">
        <v>1</v>
      </c>
      <c r="AL408">
        <v>1</v>
      </c>
      <c r="AM408">
        <v>-2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3</v>
      </c>
      <c r="AT408">
        <v>20.86</v>
      </c>
      <c r="AU408" t="s">
        <v>3</v>
      </c>
      <c r="AV408">
        <v>1</v>
      </c>
      <c r="AW408">
        <v>2</v>
      </c>
      <c r="AX408">
        <v>94802369</v>
      </c>
      <c r="AY408">
        <v>1</v>
      </c>
      <c r="AZ408">
        <v>0</v>
      </c>
      <c r="BA408">
        <v>408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U408">
        <f>ROUND(AT408*Source!I435*AH408*AL408,2)</f>
        <v>5.1100000000000003</v>
      </c>
      <c r="CV408">
        <f>ROUND(Y408*Source!I435,9)</f>
        <v>0.62580000000000002</v>
      </c>
      <c r="CW408">
        <v>0</v>
      </c>
      <c r="CX408">
        <f>ROUND(Y408*Source!I435,9)</f>
        <v>0.62580000000000002</v>
      </c>
      <c r="CY408">
        <f>AD408</f>
        <v>8.17</v>
      </c>
      <c r="CZ408">
        <f>AH408</f>
        <v>8.17</v>
      </c>
      <c r="DA408">
        <f>AL408</f>
        <v>1</v>
      </c>
      <c r="DB408">
        <f t="shared" si="153"/>
        <v>170.43</v>
      </c>
      <c r="DC408">
        <f t="shared" si="154"/>
        <v>0</v>
      </c>
      <c r="DD408" t="s">
        <v>3</v>
      </c>
      <c r="DE408" t="s">
        <v>3</v>
      </c>
      <c r="DF408">
        <f t="shared" si="178"/>
        <v>0</v>
      </c>
      <c r="DG408">
        <f>ROUND(ROUND(AF408,2)*CX408,2)</f>
        <v>0</v>
      </c>
      <c r="DH408">
        <f>ROUND(ROUND(AG408,2)*CX408,2)</f>
        <v>0</v>
      </c>
      <c r="DI408">
        <f t="shared" si="170"/>
        <v>5.1100000000000003</v>
      </c>
      <c r="DJ408">
        <f>DI408</f>
        <v>5.1100000000000003</v>
      </c>
      <c r="DK408">
        <v>0</v>
      </c>
      <c r="DL408" t="s">
        <v>3</v>
      </c>
      <c r="DM408">
        <v>0</v>
      </c>
      <c r="DN408" t="s">
        <v>3</v>
      </c>
      <c r="DO408">
        <v>0</v>
      </c>
    </row>
    <row r="409" spans="1:119" x14ac:dyDescent="0.2">
      <c r="A409">
        <f>ROW(Source!A435)</f>
        <v>435</v>
      </c>
      <c r="B409">
        <v>94798619</v>
      </c>
      <c r="C409">
        <v>94802368</v>
      </c>
      <c r="D409">
        <v>121548</v>
      </c>
      <c r="E409">
        <v>1</v>
      </c>
      <c r="F409">
        <v>1</v>
      </c>
      <c r="G409">
        <v>1</v>
      </c>
      <c r="H409">
        <v>1</v>
      </c>
      <c r="I409" t="s">
        <v>28</v>
      </c>
      <c r="J409" t="s">
        <v>3</v>
      </c>
      <c r="K409" t="s">
        <v>705</v>
      </c>
      <c r="L409">
        <v>608254</v>
      </c>
      <c r="N409">
        <v>1013</v>
      </c>
      <c r="O409" t="s">
        <v>706</v>
      </c>
      <c r="P409" t="s">
        <v>706</v>
      </c>
      <c r="Q409">
        <v>1</v>
      </c>
      <c r="W409">
        <v>0</v>
      </c>
      <c r="X409">
        <v>-185737400</v>
      </c>
      <c r="Y409">
        <f t="shared" si="152"/>
        <v>18.649999999999999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1</v>
      </c>
      <c r="AJ409">
        <v>1</v>
      </c>
      <c r="AK409">
        <v>1</v>
      </c>
      <c r="AL409">
        <v>1</v>
      </c>
      <c r="AM409">
        <v>-2</v>
      </c>
      <c r="AN409">
        <v>0</v>
      </c>
      <c r="AO409">
        <v>1</v>
      </c>
      <c r="AP409">
        <v>0</v>
      </c>
      <c r="AQ409">
        <v>0</v>
      </c>
      <c r="AR409">
        <v>0</v>
      </c>
      <c r="AS409" t="s">
        <v>3</v>
      </c>
      <c r="AT409">
        <v>18.649999999999999</v>
      </c>
      <c r="AU409" t="s">
        <v>3</v>
      </c>
      <c r="AV409">
        <v>2</v>
      </c>
      <c r="AW409">
        <v>2</v>
      </c>
      <c r="AX409">
        <v>94802370</v>
      </c>
      <c r="AY409">
        <v>1</v>
      </c>
      <c r="AZ409">
        <v>0</v>
      </c>
      <c r="BA409">
        <v>409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V409">
        <v>0</v>
      </c>
      <c r="CW409">
        <v>0</v>
      </c>
      <c r="CX409">
        <f>ROUND(Y409*Source!I435,9)</f>
        <v>0.5595</v>
      </c>
      <c r="CY409">
        <f>AD409</f>
        <v>0</v>
      </c>
      <c r="CZ409">
        <f>AH409</f>
        <v>0</v>
      </c>
      <c r="DA409">
        <f>AL409</f>
        <v>1</v>
      </c>
      <c r="DB409">
        <f t="shared" si="153"/>
        <v>0</v>
      </c>
      <c r="DC409">
        <f t="shared" si="154"/>
        <v>0</v>
      </c>
      <c r="DD409" t="s">
        <v>3</v>
      </c>
      <c r="DE409" t="s">
        <v>3</v>
      </c>
      <c r="DF409">
        <f t="shared" si="178"/>
        <v>0</v>
      </c>
      <c r="DG409">
        <f>ROUND(ROUND(AF409,2)*CX409,2)</f>
        <v>0</v>
      </c>
      <c r="DH409">
        <f>ROUND(ROUND(AG409,2)*CX409,2)</f>
        <v>0</v>
      </c>
      <c r="DI409">
        <f t="shared" si="170"/>
        <v>0</v>
      </c>
      <c r="DJ409">
        <f>DI409</f>
        <v>0</v>
      </c>
      <c r="DK409">
        <v>0</v>
      </c>
      <c r="DL409" t="s">
        <v>3</v>
      </c>
      <c r="DM409">
        <v>0</v>
      </c>
      <c r="DN409" t="s">
        <v>3</v>
      </c>
      <c r="DO409">
        <v>0</v>
      </c>
    </row>
    <row r="410" spans="1:119" x14ac:dyDescent="0.2">
      <c r="A410">
        <f>ROW(Source!A435)</f>
        <v>435</v>
      </c>
      <c r="B410">
        <v>94798619</v>
      </c>
      <c r="C410">
        <v>94802368</v>
      </c>
      <c r="D410">
        <v>37802515</v>
      </c>
      <c r="E410">
        <v>1</v>
      </c>
      <c r="F410">
        <v>1</v>
      </c>
      <c r="G410">
        <v>1</v>
      </c>
      <c r="H410">
        <v>2</v>
      </c>
      <c r="I410" t="s">
        <v>774</v>
      </c>
      <c r="J410" t="s">
        <v>775</v>
      </c>
      <c r="K410" t="s">
        <v>776</v>
      </c>
      <c r="L410">
        <v>1368</v>
      </c>
      <c r="N410">
        <v>1011</v>
      </c>
      <c r="O410" t="s">
        <v>700</v>
      </c>
      <c r="P410" t="s">
        <v>700</v>
      </c>
      <c r="Q410">
        <v>1</v>
      </c>
      <c r="W410">
        <v>0</v>
      </c>
      <c r="X410">
        <v>-674318163</v>
      </c>
      <c r="Y410">
        <f t="shared" si="152"/>
        <v>0.55000000000000004</v>
      </c>
      <c r="AA410">
        <v>0</v>
      </c>
      <c r="AB410">
        <v>2230.73</v>
      </c>
      <c r="AC410">
        <v>317.43</v>
      </c>
      <c r="AD410">
        <v>0</v>
      </c>
      <c r="AE410">
        <v>0</v>
      </c>
      <c r="AF410">
        <v>87.24</v>
      </c>
      <c r="AG410">
        <v>9</v>
      </c>
      <c r="AH410">
        <v>0</v>
      </c>
      <c r="AI410">
        <v>1</v>
      </c>
      <c r="AJ410">
        <v>25.57</v>
      </c>
      <c r="AK410">
        <v>35.270000000000003</v>
      </c>
      <c r="AL410">
        <v>1</v>
      </c>
      <c r="AM410">
        <v>2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3</v>
      </c>
      <c r="AT410">
        <v>0.55000000000000004</v>
      </c>
      <c r="AU410" t="s">
        <v>3</v>
      </c>
      <c r="AV410">
        <v>0</v>
      </c>
      <c r="AW410">
        <v>2</v>
      </c>
      <c r="AX410">
        <v>94802371</v>
      </c>
      <c r="AY410">
        <v>1</v>
      </c>
      <c r="AZ410">
        <v>0</v>
      </c>
      <c r="BA410">
        <v>410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V410">
        <v>0</v>
      </c>
      <c r="CW410">
        <f>ROUND(Y410*Source!I435*DO410,9)</f>
        <v>0</v>
      </c>
      <c r="CX410">
        <f>ROUND(Y410*Source!I435,9)</f>
        <v>1.6500000000000001E-2</v>
      </c>
      <c r="CY410">
        <f t="shared" ref="CY410:CY423" si="185">AB410</f>
        <v>2230.73</v>
      </c>
      <c r="CZ410">
        <f t="shared" ref="CZ410:CZ423" si="186">AF410</f>
        <v>87.24</v>
      </c>
      <c r="DA410">
        <f t="shared" ref="DA410:DA423" si="187">AJ410</f>
        <v>25.57</v>
      </c>
      <c r="DB410">
        <f t="shared" si="153"/>
        <v>47.98</v>
      </c>
      <c r="DC410">
        <f t="shared" si="154"/>
        <v>4.95</v>
      </c>
      <c r="DD410" t="s">
        <v>3</v>
      </c>
      <c r="DE410" t="s">
        <v>3</v>
      </c>
      <c r="DF410">
        <f t="shared" si="178"/>
        <v>0</v>
      </c>
      <c r="DG410">
        <f t="shared" ref="DG410:DG423" si="188">ROUND(ROUND(AF410*AJ410,2)*CX410,2)</f>
        <v>36.81</v>
      </c>
      <c r="DH410">
        <f t="shared" ref="DH410:DH423" si="189">ROUND(ROUND(AG410*AK410,2)*CX410,2)</f>
        <v>5.24</v>
      </c>
      <c r="DI410">
        <f t="shared" si="170"/>
        <v>0</v>
      </c>
      <c r="DJ410">
        <f t="shared" ref="DJ410:DJ423" si="190">DG410</f>
        <v>36.81</v>
      </c>
      <c r="DK410">
        <v>0</v>
      </c>
      <c r="DL410" t="s">
        <v>3</v>
      </c>
      <c r="DM410">
        <v>0</v>
      </c>
      <c r="DN410" t="s">
        <v>3</v>
      </c>
      <c r="DO410">
        <v>0</v>
      </c>
    </row>
    <row r="411" spans="1:119" x14ac:dyDescent="0.2">
      <c r="A411">
        <f>ROW(Source!A435)</f>
        <v>435</v>
      </c>
      <c r="B411">
        <v>94798619</v>
      </c>
      <c r="C411">
        <v>94802368</v>
      </c>
      <c r="D411">
        <v>37802535</v>
      </c>
      <c r="E411">
        <v>1</v>
      </c>
      <c r="F411">
        <v>1</v>
      </c>
      <c r="G411">
        <v>1</v>
      </c>
      <c r="H411">
        <v>2</v>
      </c>
      <c r="I411" t="s">
        <v>1018</v>
      </c>
      <c r="J411" t="s">
        <v>1019</v>
      </c>
      <c r="K411" t="s">
        <v>1020</v>
      </c>
      <c r="L411">
        <v>1368</v>
      </c>
      <c r="N411">
        <v>1011</v>
      </c>
      <c r="O411" t="s">
        <v>700</v>
      </c>
      <c r="P411" t="s">
        <v>700</v>
      </c>
      <c r="Q411">
        <v>1</v>
      </c>
      <c r="W411">
        <v>0</v>
      </c>
      <c r="X411">
        <v>-29530348</v>
      </c>
      <c r="Y411">
        <f t="shared" ref="Y411:Y474" si="191">AT411</f>
        <v>2.44</v>
      </c>
      <c r="AA411">
        <v>0</v>
      </c>
      <c r="AB411">
        <v>6.02</v>
      </c>
      <c r="AC411">
        <v>0</v>
      </c>
      <c r="AD411">
        <v>0</v>
      </c>
      <c r="AE411">
        <v>0</v>
      </c>
      <c r="AF411">
        <v>0.88</v>
      </c>
      <c r="AG411">
        <v>0</v>
      </c>
      <c r="AH411">
        <v>0</v>
      </c>
      <c r="AI411">
        <v>1</v>
      </c>
      <c r="AJ411">
        <v>6.84</v>
      </c>
      <c r="AK411">
        <v>35.270000000000003</v>
      </c>
      <c r="AL411">
        <v>1</v>
      </c>
      <c r="AM411">
        <v>2</v>
      </c>
      <c r="AN411">
        <v>0</v>
      </c>
      <c r="AO411">
        <v>1</v>
      </c>
      <c r="AP411">
        <v>0</v>
      </c>
      <c r="AQ411">
        <v>0</v>
      </c>
      <c r="AR411">
        <v>0</v>
      </c>
      <c r="AS411" t="s">
        <v>3</v>
      </c>
      <c r="AT411">
        <v>2.44</v>
      </c>
      <c r="AU411" t="s">
        <v>3</v>
      </c>
      <c r="AV411">
        <v>0</v>
      </c>
      <c r="AW411">
        <v>2</v>
      </c>
      <c r="AX411">
        <v>94802372</v>
      </c>
      <c r="AY411">
        <v>1</v>
      </c>
      <c r="AZ411">
        <v>0</v>
      </c>
      <c r="BA411">
        <v>411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V411">
        <v>0</v>
      </c>
      <c r="CW411">
        <f>ROUND(Y411*Source!I435*DO411,9)</f>
        <v>0</v>
      </c>
      <c r="CX411">
        <f>ROUND(Y411*Source!I435,9)</f>
        <v>7.3200000000000001E-2</v>
      </c>
      <c r="CY411">
        <f t="shared" si="185"/>
        <v>6.02</v>
      </c>
      <c r="CZ411">
        <f t="shared" si="186"/>
        <v>0.88</v>
      </c>
      <c r="DA411">
        <f t="shared" si="187"/>
        <v>6.84</v>
      </c>
      <c r="DB411">
        <f t="shared" ref="DB411:DB474" si="192">ROUND(ROUND(AT411*CZ411,2),2)</f>
        <v>2.15</v>
      </c>
      <c r="DC411">
        <f t="shared" ref="DC411:DC474" si="193">ROUND(ROUND(AT411*AG411,2),2)</f>
        <v>0</v>
      </c>
      <c r="DD411" t="s">
        <v>3</v>
      </c>
      <c r="DE411" t="s">
        <v>3</v>
      </c>
      <c r="DF411">
        <f t="shared" si="178"/>
        <v>0</v>
      </c>
      <c r="DG411">
        <f t="shared" si="188"/>
        <v>0.44</v>
      </c>
      <c r="DH411">
        <f t="shared" si="189"/>
        <v>0</v>
      </c>
      <c r="DI411">
        <f t="shared" si="170"/>
        <v>0</v>
      </c>
      <c r="DJ411">
        <f t="shared" si="190"/>
        <v>0.44</v>
      </c>
      <c r="DK411">
        <v>0</v>
      </c>
      <c r="DL411" t="s">
        <v>3</v>
      </c>
      <c r="DM411">
        <v>0</v>
      </c>
      <c r="DN411" t="s">
        <v>3</v>
      </c>
      <c r="DO411">
        <v>0</v>
      </c>
    </row>
    <row r="412" spans="1:119" x14ac:dyDescent="0.2">
      <c r="A412">
        <f>ROW(Source!A435)</f>
        <v>435</v>
      </c>
      <c r="B412">
        <v>94798619</v>
      </c>
      <c r="C412">
        <v>94802368</v>
      </c>
      <c r="D412">
        <v>37803048</v>
      </c>
      <c r="E412">
        <v>1</v>
      </c>
      <c r="F412">
        <v>1</v>
      </c>
      <c r="G412">
        <v>1</v>
      </c>
      <c r="H412">
        <v>2</v>
      </c>
      <c r="I412" t="s">
        <v>1021</v>
      </c>
      <c r="J412" t="s">
        <v>1022</v>
      </c>
      <c r="K412" t="s">
        <v>1023</v>
      </c>
      <c r="L412">
        <v>1368</v>
      </c>
      <c r="N412">
        <v>1011</v>
      </c>
      <c r="O412" t="s">
        <v>700</v>
      </c>
      <c r="P412" t="s">
        <v>700</v>
      </c>
      <c r="Q412">
        <v>1</v>
      </c>
      <c r="W412">
        <v>0</v>
      </c>
      <c r="X412">
        <v>1418156664</v>
      </c>
      <c r="Y412">
        <f t="shared" si="191"/>
        <v>0.97</v>
      </c>
      <c r="AA412">
        <v>0</v>
      </c>
      <c r="AB412">
        <v>2581.91</v>
      </c>
      <c r="AC412">
        <v>426.77</v>
      </c>
      <c r="AD412">
        <v>0</v>
      </c>
      <c r="AE412">
        <v>0</v>
      </c>
      <c r="AF412">
        <v>214.98</v>
      </c>
      <c r="AG412">
        <v>12.1</v>
      </c>
      <c r="AH412">
        <v>0</v>
      </c>
      <c r="AI412">
        <v>1</v>
      </c>
      <c r="AJ412">
        <v>12.01</v>
      </c>
      <c r="AK412">
        <v>35.270000000000003</v>
      </c>
      <c r="AL412">
        <v>1</v>
      </c>
      <c r="AM412">
        <v>2</v>
      </c>
      <c r="AN412">
        <v>0</v>
      </c>
      <c r="AO412">
        <v>1</v>
      </c>
      <c r="AP412">
        <v>0</v>
      </c>
      <c r="AQ412">
        <v>0</v>
      </c>
      <c r="AR412">
        <v>0</v>
      </c>
      <c r="AS412" t="s">
        <v>3</v>
      </c>
      <c r="AT412">
        <v>0.97</v>
      </c>
      <c r="AU412" t="s">
        <v>3</v>
      </c>
      <c r="AV412">
        <v>0</v>
      </c>
      <c r="AW412">
        <v>2</v>
      </c>
      <c r="AX412">
        <v>94802373</v>
      </c>
      <c r="AY412">
        <v>1</v>
      </c>
      <c r="AZ412">
        <v>0</v>
      </c>
      <c r="BA412">
        <v>412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V412">
        <v>0</v>
      </c>
      <c r="CW412">
        <f>ROUND(Y412*Source!I435*DO412,9)</f>
        <v>0</v>
      </c>
      <c r="CX412">
        <f>ROUND(Y412*Source!I435,9)</f>
        <v>2.9100000000000001E-2</v>
      </c>
      <c r="CY412">
        <f t="shared" si="185"/>
        <v>2581.91</v>
      </c>
      <c r="CZ412">
        <f t="shared" si="186"/>
        <v>214.98</v>
      </c>
      <c r="DA412">
        <f t="shared" si="187"/>
        <v>12.01</v>
      </c>
      <c r="DB412">
        <f t="shared" si="192"/>
        <v>208.53</v>
      </c>
      <c r="DC412">
        <f t="shared" si="193"/>
        <v>11.74</v>
      </c>
      <c r="DD412" t="s">
        <v>3</v>
      </c>
      <c r="DE412" t="s">
        <v>3</v>
      </c>
      <c r="DF412">
        <f t="shared" si="178"/>
        <v>0</v>
      </c>
      <c r="DG412">
        <f t="shared" si="188"/>
        <v>75.13</v>
      </c>
      <c r="DH412">
        <f t="shared" si="189"/>
        <v>12.42</v>
      </c>
      <c r="DI412">
        <f t="shared" si="170"/>
        <v>0</v>
      </c>
      <c r="DJ412">
        <f t="shared" si="190"/>
        <v>75.13</v>
      </c>
      <c r="DK412">
        <v>0</v>
      </c>
      <c r="DL412" t="s">
        <v>3</v>
      </c>
      <c r="DM412">
        <v>0</v>
      </c>
      <c r="DN412" t="s">
        <v>3</v>
      </c>
      <c r="DO412">
        <v>0</v>
      </c>
    </row>
    <row r="413" spans="1:119" x14ac:dyDescent="0.2">
      <c r="A413">
        <f>ROW(Source!A435)</f>
        <v>435</v>
      </c>
      <c r="B413">
        <v>94798619</v>
      </c>
      <c r="C413">
        <v>94802368</v>
      </c>
      <c r="D413">
        <v>37803104</v>
      </c>
      <c r="E413">
        <v>1</v>
      </c>
      <c r="F413">
        <v>1</v>
      </c>
      <c r="G413">
        <v>1</v>
      </c>
      <c r="H413">
        <v>2</v>
      </c>
      <c r="I413" t="s">
        <v>1071</v>
      </c>
      <c r="J413" t="s">
        <v>1072</v>
      </c>
      <c r="K413" t="s">
        <v>1073</v>
      </c>
      <c r="L413">
        <v>1368</v>
      </c>
      <c r="N413">
        <v>1011</v>
      </c>
      <c r="O413" t="s">
        <v>700</v>
      </c>
      <c r="P413" t="s">
        <v>700</v>
      </c>
      <c r="Q413">
        <v>1</v>
      </c>
      <c r="W413">
        <v>0</v>
      </c>
      <c r="X413">
        <v>-1891339685</v>
      </c>
      <c r="Y413">
        <f t="shared" si="191"/>
        <v>2.04</v>
      </c>
      <c r="AA413">
        <v>0</v>
      </c>
      <c r="AB413">
        <v>9932.77</v>
      </c>
      <c r="AC413">
        <v>454.98</v>
      </c>
      <c r="AD413">
        <v>0</v>
      </c>
      <c r="AE413">
        <v>0</v>
      </c>
      <c r="AF413">
        <v>1829.24</v>
      </c>
      <c r="AG413">
        <v>12.9</v>
      </c>
      <c r="AH413">
        <v>0</v>
      </c>
      <c r="AI413">
        <v>1</v>
      </c>
      <c r="AJ413">
        <v>5.43</v>
      </c>
      <c r="AK413">
        <v>35.270000000000003</v>
      </c>
      <c r="AL413">
        <v>1</v>
      </c>
      <c r="AM413">
        <v>2</v>
      </c>
      <c r="AN413">
        <v>0</v>
      </c>
      <c r="AO413">
        <v>1</v>
      </c>
      <c r="AP413">
        <v>0</v>
      </c>
      <c r="AQ413">
        <v>0</v>
      </c>
      <c r="AR413">
        <v>0</v>
      </c>
      <c r="AS413" t="s">
        <v>3</v>
      </c>
      <c r="AT413">
        <v>2.04</v>
      </c>
      <c r="AU413" t="s">
        <v>3</v>
      </c>
      <c r="AV413">
        <v>0</v>
      </c>
      <c r="AW413">
        <v>2</v>
      </c>
      <c r="AX413">
        <v>94802374</v>
      </c>
      <c r="AY413">
        <v>1</v>
      </c>
      <c r="AZ413">
        <v>0</v>
      </c>
      <c r="BA413">
        <v>413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V413">
        <v>0</v>
      </c>
      <c r="CW413">
        <f>ROUND(Y413*Source!I435*DO413,9)</f>
        <v>0</v>
      </c>
      <c r="CX413">
        <f>ROUND(Y413*Source!I435,9)</f>
        <v>6.1199999999999997E-2</v>
      </c>
      <c r="CY413">
        <f t="shared" si="185"/>
        <v>9932.77</v>
      </c>
      <c r="CZ413">
        <f t="shared" si="186"/>
        <v>1829.24</v>
      </c>
      <c r="DA413">
        <f t="shared" si="187"/>
        <v>5.43</v>
      </c>
      <c r="DB413">
        <f t="shared" si="192"/>
        <v>3731.65</v>
      </c>
      <c r="DC413">
        <f t="shared" si="193"/>
        <v>26.32</v>
      </c>
      <c r="DD413" t="s">
        <v>3</v>
      </c>
      <c r="DE413" t="s">
        <v>3</v>
      </c>
      <c r="DF413">
        <f t="shared" si="178"/>
        <v>0</v>
      </c>
      <c r="DG413">
        <f t="shared" si="188"/>
        <v>607.89</v>
      </c>
      <c r="DH413">
        <f t="shared" si="189"/>
        <v>27.84</v>
      </c>
      <c r="DI413">
        <f t="shared" si="170"/>
        <v>0</v>
      </c>
      <c r="DJ413">
        <f t="shared" si="190"/>
        <v>607.89</v>
      </c>
      <c r="DK413">
        <v>0</v>
      </c>
      <c r="DL413" t="s">
        <v>3</v>
      </c>
      <c r="DM413">
        <v>0</v>
      </c>
      <c r="DN413" t="s">
        <v>3</v>
      </c>
      <c r="DO413">
        <v>0</v>
      </c>
    </row>
    <row r="414" spans="1:119" x14ac:dyDescent="0.2">
      <c r="A414">
        <f>ROW(Source!A435)</f>
        <v>435</v>
      </c>
      <c r="B414">
        <v>94798619</v>
      </c>
      <c r="C414">
        <v>94802368</v>
      </c>
      <c r="D414">
        <v>37803111</v>
      </c>
      <c r="E414">
        <v>1</v>
      </c>
      <c r="F414">
        <v>1</v>
      </c>
      <c r="G414">
        <v>1</v>
      </c>
      <c r="H414">
        <v>2</v>
      </c>
      <c r="I414" t="s">
        <v>880</v>
      </c>
      <c r="J414" t="s">
        <v>881</v>
      </c>
      <c r="K414" t="s">
        <v>882</v>
      </c>
      <c r="L414">
        <v>1368</v>
      </c>
      <c r="N414">
        <v>1011</v>
      </c>
      <c r="O414" t="s">
        <v>700</v>
      </c>
      <c r="P414" t="s">
        <v>700</v>
      </c>
      <c r="Q414">
        <v>1</v>
      </c>
      <c r="W414">
        <v>0</v>
      </c>
      <c r="X414">
        <v>1797372022</v>
      </c>
      <c r="Y414">
        <f t="shared" si="191"/>
        <v>3.1</v>
      </c>
      <c r="AA414">
        <v>0</v>
      </c>
      <c r="AB414">
        <v>1562.18</v>
      </c>
      <c r="AC414">
        <v>365.04</v>
      </c>
      <c r="AD414">
        <v>0</v>
      </c>
      <c r="AE414">
        <v>0</v>
      </c>
      <c r="AF414">
        <v>119.25</v>
      </c>
      <c r="AG414">
        <v>10.35</v>
      </c>
      <c r="AH414">
        <v>0</v>
      </c>
      <c r="AI414">
        <v>1</v>
      </c>
      <c r="AJ414">
        <v>13.1</v>
      </c>
      <c r="AK414">
        <v>35.270000000000003</v>
      </c>
      <c r="AL414">
        <v>1</v>
      </c>
      <c r="AM414">
        <v>2</v>
      </c>
      <c r="AN414">
        <v>0</v>
      </c>
      <c r="AO414">
        <v>1</v>
      </c>
      <c r="AP414">
        <v>0</v>
      </c>
      <c r="AQ414">
        <v>0</v>
      </c>
      <c r="AR414">
        <v>0</v>
      </c>
      <c r="AS414" t="s">
        <v>3</v>
      </c>
      <c r="AT414">
        <v>3.1</v>
      </c>
      <c r="AU414" t="s">
        <v>3</v>
      </c>
      <c r="AV414">
        <v>0</v>
      </c>
      <c r="AW414">
        <v>2</v>
      </c>
      <c r="AX414">
        <v>94802375</v>
      </c>
      <c r="AY414">
        <v>1</v>
      </c>
      <c r="AZ414">
        <v>0</v>
      </c>
      <c r="BA414">
        <v>414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V414">
        <v>0</v>
      </c>
      <c r="CW414">
        <f>ROUND(Y414*Source!I435*DO414,9)</f>
        <v>0</v>
      </c>
      <c r="CX414">
        <f>ROUND(Y414*Source!I435,9)</f>
        <v>9.2999999999999999E-2</v>
      </c>
      <c r="CY414">
        <f t="shared" si="185"/>
        <v>1562.18</v>
      </c>
      <c r="CZ414">
        <f t="shared" si="186"/>
        <v>119.25</v>
      </c>
      <c r="DA414">
        <f t="shared" si="187"/>
        <v>13.1</v>
      </c>
      <c r="DB414">
        <f t="shared" si="192"/>
        <v>369.68</v>
      </c>
      <c r="DC414">
        <f t="shared" si="193"/>
        <v>32.090000000000003</v>
      </c>
      <c r="DD414" t="s">
        <v>3</v>
      </c>
      <c r="DE414" t="s">
        <v>3</v>
      </c>
      <c r="DF414">
        <f t="shared" si="178"/>
        <v>0</v>
      </c>
      <c r="DG414">
        <f t="shared" si="188"/>
        <v>145.28</v>
      </c>
      <c r="DH414">
        <f t="shared" si="189"/>
        <v>33.950000000000003</v>
      </c>
      <c r="DI414">
        <f t="shared" si="170"/>
        <v>0</v>
      </c>
      <c r="DJ414">
        <f t="shared" si="190"/>
        <v>145.28</v>
      </c>
      <c r="DK414">
        <v>0</v>
      </c>
      <c r="DL414" t="s">
        <v>3</v>
      </c>
      <c r="DM414">
        <v>0</v>
      </c>
      <c r="DN414" t="s">
        <v>3</v>
      </c>
      <c r="DO414">
        <v>0</v>
      </c>
    </row>
    <row r="415" spans="1:119" x14ac:dyDescent="0.2">
      <c r="A415">
        <f>ROW(Source!A435)</f>
        <v>435</v>
      </c>
      <c r="B415">
        <v>94798619</v>
      </c>
      <c r="C415">
        <v>94802368</v>
      </c>
      <c r="D415">
        <v>37804095</v>
      </c>
      <c r="E415">
        <v>1</v>
      </c>
      <c r="F415">
        <v>1</v>
      </c>
      <c r="G415">
        <v>1</v>
      </c>
      <c r="H415">
        <v>2</v>
      </c>
      <c r="I415" t="s">
        <v>766</v>
      </c>
      <c r="J415" t="s">
        <v>767</v>
      </c>
      <c r="K415" t="s">
        <v>768</v>
      </c>
      <c r="L415">
        <v>1368</v>
      </c>
      <c r="N415">
        <v>1011</v>
      </c>
      <c r="O415" t="s">
        <v>700</v>
      </c>
      <c r="P415" t="s">
        <v>700</v>
      </c>
      <c r="Q415">
        <v>1</v>
      </c>
      <c r="W415">
        <v>0</v>
      </c>
      <c r="X415">
        <v>1159152410</v>
      </c>
      <c r="Y415">
        <f t="shared" si="191"/>
        <v>1.1499999999999999</v>
      </c>
      <c r="AA415">
        <v>0</v>
      </c>
      <c r="AB415">
        <v>8.8699999999999992</v>
      </c>
      <c r="AC415">
        <v>0</v>
      </c>
      <c r="AD415">
        <v>0</v>
      </c>
      <c r="AE415">
        <v>0</v>
      </c>
      <c r="AF415">
        <v>1.69</v>
      </c>
      <c r="AG415">
        <v>0</v>
      </c>
      <c r="AH415">
        <v>0</v>
      </c>
      <c r="AI415">
        <v>1</v>
      </c>
      <c r="AJ415">
        <v>5.25</v>
      </c>
      <c r="AK415">
        <v>35.270000000000003</v>
      </c>
      <c r="AL415">
        <v>1</v>
      </c>
      <c r="AM415">
        <v>2</v>
      </c>
      <c r="AN415">
        <v>0</v>
      </c>
      <c r="AO415">
        <v>1</v>
      </c>
      <c r="AP415">
        <v>0</v>
      </c>
      <c r="AQ415">
        <v>0</v>
      </c>
      <c r="AR415">
        <v>0</v>
      </c>
      <c r="AS415" t="s">
        <v>3</v>
      </c>
      <c r="AT415">
        <v>1.1499999999999999</v>
      </c>
      <c r="AU415" t="s">
        <v>3</v>
      </c>
      <c r="AV415">
        <v>0</v>
      </c>
      <c r="AW415">
        <v>2</v>
      </c>
      <c r="AX415">
        <v>94802376</v>
      </c>
      <c r="AY415">
        <v>1</v>
      </c>
      <c r="AZ415">
        <v>0</v>
      </c>
      <c r="BA415">
        <v>415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V415">
        <v>0</v>
      </c>
      <c r="CW415">
        <f>ROUND(Y415*Source!I435*DO415,9)</f>
        <v>0</v>
      </c>
      <c r="CX415">
        <f>ROUND(Y415*Source!I435,9)</f>
        <v>3.4500000000000003E-2</v>
      </c>
      <c r="CY415">
        <f t="shared" si="185"/>
        <v>8.8699999999999992</v>
      </c>
      <c r="CZ415">
        <f t="shared" si="186"/>
        <v>1.69</v>
      </c>
      <c r="DA415">
        <f t="shared" si="187"/>
        <v>5.25</v>
      </c>
      <c r="DB415">
        <f t="shared" si="192"/>
        <v>1.94</v>
      </c>
      <c r="DC415">
        <f t="shared" si="193"/>
        <v>0</v>
      </c>
      <c r="DD415" t="s">
        <v>3</v>
      </c>
      <c r="DE415" t="s">
        <v>3</v>
      </c>
      <c r="DF415">
        <f t="shared" si="178"/>
        <v>0</v>
      </c>
      <c r="DG415">
        <f t="shared" si="188"/>
        <v>0.31</v>
      </c>
      <c r="DH415">
        <f t="shared" si="189"/>
        <v>0</v>
      </c>
      <c r="DI415">
        <f t="shared" si="170"/>
        <v>0</v>
      </c>
      <c r="DJ415">
        <f t="shared" si="190"/>
        <v>0.31</v>
      </c>
      <c r="DK415">
        <v>0</v>
      </c>
      <c r="DL415" t="s">
        <v>3</v>
      </c>
      <c r="DM415">
        <v>0</v>
      </c>
      <c r="DN415" t="s">
        <v>3</v>
      </c>
      <c r="DO415">
        <v>0</v>
      </c>
    </row>
    <row r="416" spans="1:119" x14ac:dyDescent="0.2">
      <c r="A416">
        <f>ROW(Source!A435)</f>
        <v>435</v>
      </c>
      <c r="B416">
        <v>94798619</v>
      </c>
      <c r="C416">
        <v>94802368</v>
      </c>
      <c r="D416">
        <v>37804342</v>
      </c>
      <c r="E416">
        <v>1</v>
      </c>
      <c r="F416">
        <v>1</v>
      </c>
      <c r="G416">
        <v>1</v>
      </c>
      <c r="H416">
        <v>2</v>
      </c>
      <c r="I416" t="s">
        <v>1033</v>
      </c>
      <c r="J416" t="s">
        <v>1034</v>
      </c>
      <c r="K416" t="s">
        <v>1035</v>
      </c>
      <c r="L416">
        <v>1368</v>
      </c>
      <c r="N416">
        <v>1011</v>
      </c>
      <c r="O416" t="s">
        <v>700</v>
      </c>
      <c r="P416" t="s">
        <v>700</v>
      </c>
      <c r="Q416">
        <v>1</v>
      </c>
      <c r="W416">
        <v>0</v>
      </c>
      <c r="X416">
        <v>-858108001</v>
      </c>
      <c r="Y416">
        <f t="shared" si="191"/>
        <v>2.04</v>
      </c>
      <c r="AA416">
        <v>0</v>
      </c>
      <c r="AB416">
        <v>3841.1</v>
      </c>
      <c r="AC416">
        <v>519.16999999999996</v>
      </c>
      <c r="AD416">
        <v>0</v>
      </c>
      <c r="AE416">
        <v>0</v>
      </c>
      <c r="AF416">
        <v>777.55</v>
      </c>
      <c r="AG416">
        <v>14.72</v>
      </c>
      <c r="AH416">
        <v>0</v>
      </c>
      <c r="AI416">
        <v>1</v>
      </c>
      <c r="AJ416">
        <v>4.9400000000000004</v>
      </c>
      <c r="AK416">
        <v>35.270000000000003</v>
      </c>
      <c r="AL416">
        <v>1</v>
      </c>
      <c r="AM416">
        <v>2</v>
      </c>
      <c r="AN416">
        <v>0</v>
      </c>
      <c r="AO416">
        <v>1</v>
      </c>
      <c r="AP416">
        <v>0</v>
      </c>
      <c r="AQ416">
        <v>0</v>
      </c>
      <c r="AR416">
        <v>0</v>
      </c>
      <c r="AS416" t="s">
        <v>3</v>
      </c>
      <c r="AT416">
        <v>2.04</v>
      </c>
      <c r="AU416" t="s">
        <v>3</v>
      </c>
      <c r="AV416">
        <v>0</v>
      </c>
      <c r="AW416">
        <v>2</v>
      </c>
      <c r="AX416">
        <v>94802377</v>
      </c>
      <c r="AY416">
        <v>1</v>
      </c>
      <c r="AZ416">
        <v>0</v>
      </c>
      <c r="BA416">
        <v>416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V416">
        <v>0</v>
      </c>
      <c r="CW416">
        <f>ROUND(Y416*Source!I435*DO416,9)</f>
        <v>0</v>
      </c>
      <c r="CX416">
        <f>ROUND(Y416*Source!I435,9)</f>
        <v>6.1199999999999997E-2</v>
      </c>
      <c r="CY416">
        <f t="shared" si="185"/>
        <v>3841.1</v>
      </c>
      <c r="CZ416">
        <f t="shared" si="186"/>
        <v>777.55</v>
      </c>
      <c r="DA416">
        <f t="shared" si="187"/>
        <v>4.9400000000000004</v>
      </c>
      <c r="DB416">
        <f t="shared" si="192"/>
        <v>1586.2</v>
      </c>
      <c r="DC416">
        <f t="shared" si="193"/>
        <v>30.03</v>
      </c>
      <c r="DD416" t="s">
        <v>3</v>
      </c>
      <c r="DE416" t="s">
        <v>3</v>
      </c>
      <c r="DF416">
        <f t="shared" si="178"/>
        <v>0</v>
      </c>
      <c r="DG416">
        <f t="shared" si="188"/>
        <v>235.08</v>
      </c>
      <c r="DH416">
        <f t="shared" si="189"/>
        <v>31.77</v>
      </c>
      <c r="DI416">
        <f t="shared" si="170"/>
        <v>0</v>
      </c>
      <c r="DJ416">
        <f t="shared" si="190"/>
        <v>235.08</v>
      </c>
      <c r="DK416">
        <v>0</v>
      </c>
      <c r="DL416" t="s">
        <v>3</v>
      </c>
      <c r="DM416">
        <v>0</v>
      </c>
      <c r="DN416" t="s">
        <v>3</v>
      </c>
      <c r="DO416">
        <v>0</v>
      </c>
    </row>
    <row r="417" spans="1:119" x14ac:dyDescent="0.2">
      <c r="A417">
        <f>ROW(Source!A435)</f>
        <v>435</v>
      </c>
      <c r="B417">
        <v>94798619</v>
      </c>
      <c r="C417">
        <v>94802368</v>
      </c>
      <c r="D417">
        <v>37804343</v>
      </c>
      <c r="E417">
        <v>1</v>
      </c>
      <c r="F417">
        <v>1</v>
      </c>
      <c r="G417">
        <v>1</v>
      </c>
      <c r="H417">
        <v>2</v>
      </c>
      <c r="I417" t="s">
        <v>1036</v>
      </c>
      <c r="J417" t="s">
        <v>1037</v>
      </c>
      <c r="K417" t="s">
        <v>1038</v>
      </c>
      <c r="L417">
        <v>1368</v>
      </c>
      <c r="N417">
        <v>1011</v>
      </c>
      <c r="O417" t="s">
        <v>700</v>
      </c>
      <c r="P417" t="s">
        <v>700</v>
      </c>
      <c r="Q417">
        <v>1</v>
      </c>
      <c r="W417">
        <v>0</v>
      </c>
      <c r="X417">
        <v>-1506318084</v>
      </c>
      <c r="Y417">
        <f t="shared" si="191"/>
        <v>2.04</v>
      </c>
      <c r="AA417">
        <v>0</v>
      </c>
      <c r="AB417">
        <v>144</v>
      </c>
      <c r="AC417">
        <v>0</v>
      </c>
      <c r="AD417">
        <v>0</v>
      </c>
      <c r="AE417">
        <v>0</v>
      </c>
      <c r="AF417">
        <v>21.46</v>
      </c>
      <c r="AG417">
        <v>0</v>
      </c>
      <c r="AH417">
        <v>0</v>
      </c>
      <c r="AI417">
        <v>1</v>
      </c>
      <c r="AJ417">
        <v>6.71</v>
      </c>
      <c r="AK417">
        <v>35.270000000000003</v>
      </c>
      <c r="AL417">
        <v>1</v>
      </c>
      <c r="AM417">
        <v>2</v>
      </c>
      <c r="AN417">
        <v>0</v>
      </c>
      <c r="AO417">
        <v>1</v>
      </c>
      <c r="AP417">
        <v>0</v>
      </c>
      <c r="AQ417">
        <v>0</v>
      </c>
      <c r="AR417">
        <v>0</v>
      </c>
      <c r="AS417" t="s">
        <v>3</v>
      </c>
      <c r="AT417">
        <v>2.04</v>
      </c>
      <c r="AU417" t="s">
        <v>3</v>
      </c>
      <c r="AV417">
        <v>0</v>
      </c>
      <c r="AW417">
        <v>2</v>
      </c>
      <c r="AX417">
        <v>94802378</v>
      </c>
      <c r="AY417">
        <v>1</v>
      </c>
      <c r="AZ417">
        <v>0</v>
      </c>
      <c r="BA417">
        <v>417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V417">
        <v>0</v>
      </c>
      <c r="CW417">
        <f>ROUND(Y417*Source!I435*DO417,9)</f>
        <v>0</v>
      </c>
      <c r="CX417">
        <f>ROUND(Y417*Source!I435,9)</f>
        <v>6.1199999999999997E-2</v>
      </c>
      <c r="CY417">
        <f t="shared" si="185"/>
        <v>144</v>
      </c>
      <c r="CZ417">
        <f t="shared" si="186"/>
        <v>21.46</v>
      </c>
      <c r="DA417">
        <f t="shared" si="187"/>
        <v>6.71</v>
      </c>
      <c r="DB417">
        <f t="shared" si="192"/>
        <v>43.78</v>
      </c>
      <c r="DC417">
        <f t="shared" si="193"/>
        <v>0</v>
      </c>
      <c r="DD417" t="s">
        <v>3</v>
      </c>
      <c r="DE417" t="s">
        <v>3</v>
      </c>
      <c r="DF417">
        <f t="shared" si="178"/>
        <v>0</v>
      </c>
      <c r="DG417">
        <f t="shared" si="188"/>
        <v>8.81</v>
      </c>
      <c r="DH417">
        <f t="shared" si="189"/>
        <v>0</v>
      </c>
      <c r="DI417">
        <f t="shared" si="170"/>
        <v>0</v>
      </c>
      <c r="DJ417">
        <f t="shared" si="190"/>
        <v>8.81</v>
      </c>
      <c r="DK417">
        <v>0</v>
      </c>
      <c r="DL417" t="s">
        <v>3</v>
      </c>
      <c r="DM417">
        <v>0</v>
      </c>
      <c r="DN417" t="s">
        <v>3</v>
      </c>
      <c r="DO417">
        <v>0</v>
      </c>
    </row>
    <row r="418" spans="1:119" x14ac:dyDescent="0.2">
      <c r="A418">
        <f>ROW(Source!A435)</f>
        <v>435</v>
      </c>
      <c r="B418">
        <v>94798619</v>
      </c>
      <c r="C418">
        <v>94802368</v>
      </c>
      <c r="D418">
        <v>37804344</v>
      </c>
      <c r="E418">
        <v>1</v>
      </c>
      <c r="F418">
        <v>1</v>
      </c>
      <c r="G418">
        <v>1</v>
      </c>
      <c r="H418">
        <v>2</v>
      </c>
      <c r="I418" t="s">
        <v>1074</v>
      </c>
      <c r="J418" t="s">
        <v>1075</v>
      </c>
      <c r="K418" t="s">
        <v>1076</v>
      </c>
      <c r="L418">
        <v>1368</v>
      </c>
      <c r="N418">
        <v>1011</v>
      </c>
      <c r="O418" t="s">
        <v>700</v>
      </c>
      <c r="P418" t="s">
        <v>700</v>
      </c>
      <c r="Q418">
        <v>1</v>
      </c>
      <c r="W418">
        <v>0</v>
      </c>
      <c r="X418">
        <v>1412555374</v>
      </c>
      <c r="Y418">
        <f t="shared" si="191"/>
        <v>1.51</v>
      </c>
      <c r="AA418">
        <v>0</v>
      </c>
      <c r="AB418">
        <v>1919.62</v>
      </c>
      <c r="AC418">
        <v>426.77</v>
      </c>
      <c r="AD418">
        <v>0</v>
      </c>
      <c r="AE418">
        <v>0</v>
      </c>
      <c r="AF418">
        <v>330.4</v>
      </c>
      <c r="AG418">
        <v>12.1</v>
      </c>
      <c r="AH418">
        <v>0</v>
      </c>
      <c r="AI418">
        <v>1</v>
      </c>
      <c r="AJ418">
        <v>5.81</v>
      </c>
      <c r="AK418">
        <v>35.270000000000003</v>
      </c>
      <c r="AL418">
        <v>1</v>
      </c>
      <c r="AM418">
        <v>2</v>
      </c>
      <c r="AN418">
        <v>0</v>
      </c>
      <c r="AO418">
        <v>1</v>
      </c>
      <c r="AP418">
        <v>0</v>
      </c>
      <c r="AQ418">
        <v>0</v>
      </c>
      <c r="AR418">
        <v>0</v>
      </c>
      <c r="AS418" t="s">
        <v>3</v>
      </c>
      <c r="AT418">
        <v>1.51</v>
      </c>
      <c r="AU418" t="s">
        <v>3</v>
      </c>
      <c r="AV418">
        <v>0</v>
      </c>
      <c r="AW418">
        <v>2</v>
      </c>
      <c r="AX418">
        <v>94802379</v>
      </c>
      <c r="AY418">
        <v>1</v>
      </c>
      <c r="AZ418">
        <v>0</v>
      </c>
      <c r="BA418">
        <v>418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V418">
        <v>0</v>
      </c>
      <c r="CW418">
        <f>ROUND(Y418*Source!I435*DO418,9)</f>
        <v>0</v>
      </c>
      <c r="CX418">
        <f>ROUND(Y418*Source!I435,9)</f>
        <v>4.53E-2</v>
      </c>
      <c r="CY418">
        <f t="shared" si="185"/>
        <v>1919.62</v>
      </c>
      <c r="CZ418">
        <f t="shared" si="186"/>
        <v>330.4</v>
      </c>
      <c r="DA418">
        <f t="shared" si="187"/>
        <v>5.81</v>
      </c>
      <c r="DB418">
        <f t="shared" si="192"/>
        <v>498.9</v>
      </c>
      <c r="DC418">
        <f t="shared" si="193"/>
        <v>18.27</v>
      </c>
      <c r="DD418" t="s">
        <v>3</v>
      </c>
      <c r="DE418" t="s">
        <v>3</v>
      </c>
      <c r="DF418">
        <f t="shared" si="178"/>
        <v>0</v>
      </c>
      <c r="DG418">
        <f t="shared" si="188"/>
        <v>86.96</v>
      </c>
      <c r="DH418">
        <f t="shared" si="189"/>
        <v>19.329999999999998</v>
      </c>
      <c r="DI418">
        <f t="shared" si="170"/>
        <v>0</v>
      </c>
      <c r="DJ418">
        <f t="shared" si="190"/>
        <v>86.96</v>
      </c>
      <c r="DK418">
        <v>0</v>
      </c>
      <c r="DL418" t="s">
        <v>3</v>
      </c>
      <c r="DM418">
        <v>0</v>
      </c>
      <c r="DN418" t="s">
        <v>3</v>
      </c>
      <c r="DO418">
        <v>0</v>
      </c>
    </row>
    <row r="419" spans="1:119" x14ac:dyDescent="0.2">
      <c r="A419">
        <f>ROW(Source!A435)</f>
        <v>435</v>
      </c>
      <c r="B419">
        <v>94798619</v>
      </c>
      <c r="C419">
        <v>94802368</v>
      </c>
      <c r="D419">
        <v>37804345</v>
      </c>
      <c r="E419">
        <v>1</v>
      </c>
      <c r="F419">
        <v>1</v>
      </c>
      <c r="G419">
        <v>1</v>
      </c>
      <c r="H419">
        <v>2</v>
      </c>
      <c r="I419" t="s">
        <v>1077</v>
      </c>
      <c r="J419" t="s">
        <v>1078</v>
      </c>
      <c r="K419" t="s">
        <v>1079</v>
      </c>
      <c r="L419">
        <v>1368</v>
      </c>
      <c r="N419">
        <v>1011</v>
      </c>
      <c r="O419" t="s">
        <v>700</v>
      </c>
      <c r="P419" t="s">
        <v>700</v>
      </c>
      <c r="Q419">
        <v>1</v>
      </c>
      <c r="W419">
        <v>0</v>
      </c>
      <c r="X419">
        <v>-799059128</v>
      </c>
      <c r="Y419">
        <f t="shared" si="191"/>
        <v>2.59</v>
      </c>
      <c r="AA419">
        <v>0</v>
      </c>
      <c r="AB419">
        <v>1626.65</v>
      </c>
      <c r="AC419">
        <v>426.77</v>
      </c>
      <c r="AD419">
        <v>0</v>
      </c>
      <c r="AE419">
        <v>0</v>
      </c>
      <c r="AF419">
        <v>130.55000000000001</v>
      </c>
      <c r="AG419">
        <v>12.1</v>
      </c>
      <c r="AH419">
        <v>0</v>
      </c>
      <c r="AI419">
        <v>1</v>
      </c>
      <c r="AJ419">
        <v>12.46</v>
      </c>
      <c r="AK419">
        <v>35.270000000000003</v>
      </c>
      <c r="AL419">
        <v>1</v>
      </c>
      <c r="AM419">
        <v>2</v>
      </c>
      <c r="AN419">
        <v>0</v>
      </c>
      <c r="AO419">
        <v>1</v>
      </c>
      <c r="AP419">
        <v>0</v>
      </c>
      <c r="AQ419">
        <v>0</v>
      </c>
      <c r="AR419">
        <v>0</v>
      </c>
      <c r="AS419" t="s">
        <v>3</v>
      </c>
      <c r="AT419">
        <v>2.59</v>
      </c>
      <c r="AU419" t="s">
        <v>3</v>
      </c>
      <c r="AV419">
        <v>0</v>
      </c>
      <c r="AW419">
        <v>2</v>
      </c>
      <c r="AX419">
        <v>94802380</v>
      </c>
      <c r="AY419">
        <v>1</v>
      </c>
      <c r="AZ419">
        <v>0</v>
      </c>
      <c r="BA419">
        <v>419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V419">
        <v>0</v>
      </c>
      <c r="CW419">
        <f>ROUND(Y419*Source!I435*DO419,9)</f>
        <v>0</v>
      </c>
      <c r="CX419">
        <f>ROUND(Y419*Source!I435,9)</f>
        <v>7.7700000000000005E-2</v>
      </c>
      <c r="CY419">
        <f t="shared" si="185"/>
        <v>1626.65</v>
      </c>
      <c r="CZ419">
        <f t="shared" si="186"/>
        <v>130.55000000000001</v>
      </c>
      <c r="DA419">
        <f t="shared" si="187"/>
        <v>12.46</v>
      </c>
      <c r="DB419">
        <f t="shared" si="192"/>
        <v>338.12</v>
      </c>
      <c r="DC419">
        <f t="shared" si="193"/>
        <v>31.34</v>
      </c>
      <c r="DD419" t="s">
        <v>3</v>
      </c>
      <c r="DE419" t="s">
        <v>3</v>
      </c>
      <c r="DF419">
        <f t="shared" si="178"/>
        <v>0</v>
      </c>
      <c r="DG419">
        <f t="shared" si="188"/>
        <v>126.39</v>
      </c>
      <c r="DH419">
        <f t="shared" si="189"/>
        <v>33.159999999999997</v>
      </c>
      <c r="DI419">
        <f t="shared" si="170"/>
        <v>0</v>
      </c>
      <c r="DJ419">
        <f t="shared" si="190"/>
        <v>126.39</v>
      </c>
      <c r="DK419">
        <v>0</v>
      </c>
      <c r="DL419" t="s">
        <v>3</v>
      </c>
      <c r="DM419">
        <v>0</v>
      </c>
      <c r="DN419" t="s">
        <v>3</v>
      </c>
      <c r="DO419">
        <v>0</v>
      </c>
    </row>
    <row r="420" spans="1:119" x14ac:dyDescent="0.2">
      <c r="A420">
        <f>ROW(Source!A435)</f>
        <v>435</v>
      </c>
      <c r="B420">
        <v>94798619</v>
      </c>
      <c r="C420">
        <v>94802368</v>
      </c>
      <c r="D420">
        <v>37804346</v>
      </c>
      <c r="E420">
        <v>1</v>
      </c>
      <c r="F420">
        <v>1</v>
      </c>
      <c r="G420">
        <v>1</v>
      </c>
      <c r="H420">
        <v>2</v>
      </c>
      <c r="I420" t="s">
        <v>1039</v>
      </c>
      <c r="J420" t="s">
        <v>1040</v>
      </c>
      <c r="K420" t="s">
        <v>1041</v>
      </c>
      <c r="L420">
        <v>1368</v>
      </c>
      <c r="N420">
        <v>1011</v>
      </c>
      <c r="O420" t="s">
        <v>700</v>
      </c>
      <c r="P420" t="s">
        <v>700</v>
      </c>
      <c r="Q420">
        <v>1</v>
      </c>
      <c r="W420">
        <v>0</v>
      </c>
      <c r="X420">
        <v>-1838412179</v>
      </c>
      <c r="Y420">
        <f t="shared" si="191"/>
        <v>2.14</v>
      </c>
      <c r="AA420">
        <v>0</v>
      </c>
      <c r="AB420">
        <v>1900.67</v>
      </c>
      <c r="AC420">
        <v>426.77</v>
      </c>
      <c r="AD420">
        <v>0</v>
      </c>
      <c r="AE420">
        <v>0</v>
      </c>
      <c r="AF420">
        <v>526.5</v>
      </c>
      <c r="AG420">
        <v>12.1</v>
      </c>
      <c r="AH420">
        <v>0</v>
      </c>
      <c r="AI420">
        <v>1</v>
      </c>
      <c r="AJ420">
        <v>3.61</v>
      </c>
      <c r="AK420">
        <v>35.270000000000003</v>
      </c>
      <c r="AL420">
        <v>1</v>
      </c>
      <c r="AM420">
        <v>2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3</v>
      </c>
      <c r="AT420">
        <v>2.14</v>
      </c>
      <c r="AU420" t="s">
        <v>3</v>
      </c>
      <c r="AV420">
        <v>0</v>
      </c>
      <c r="AW420">
        <v>2</v>
      </c>
      <c r="AX420">
        <v>94802381</v>
      </c>
      <c r="AY420">
        <v>1</v>
      </c>
      <c r="AZ420">
        <v>0</v>
      </c>
      <c r="BA420">
        <v>420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V420">
        <v>0</v>
      </c>
      <c r="CW420">
        <f>ROUND(Y420*Source!I435*DO420,9)</f>
        <v>0</v>
      </c>
      <c r="CX420">
        <f>ROUND(Y420*Source!I435,9)</f>
        <v>6.4199999999999993E-2</v>
      </c>
      <c r="CY420">
        <f t="shared" si="185"/>
        <v>1900.67</v>
      </c>
      <c r="CZ420">
        <f t="shared" si="186"/>
        <v>526.5</v>
      </c>
      <c r="DA420">
        <f t="shared" si="187"/>
        <v>3.61</v>
      </c>
      <c r="DB420">
        <f t="shared" si="192"/>
        <v>1126.71</v>
      </c>
      <c r="DC420">
        <f t="shared" si="193"/>
        <v>25.89</v>
      </c>
      <c r="DD420" t="s">
        <v>3</v>
      </c>
      <c r="DE420" t="s">
        <v>3</v>
      </c>
      <c r="DF420">
        <f t="shared" si="178"/>
        <v>0</v>
      </c>
      <c r="DG420">
        <f t="shared" si="188"/>
        <v>122.02</v>
      </c>
      <c r="DH420">
        <f t="shared" si="189"/>
        <v>27.4</v>
      </c>
      <c r="DI420">
        <f t="shared" si="170"/>
        <v>0</v>
      </c>
      <c r="DJ420">
        <f t="shared" si="190"/>
        <v>122.02</v>
      </c>
      <c r="DK420">
        <v>0</v>
      </c>
      <c r="DL420" t="s">
        <v>3</v>
      </c>
      <c r="DM420">
        <v>0</v>
      </c>
      <c r="DN420" t="s">
        <v>3</v>
      </c>
      <c r="DO420">
        <v>0</v>
      </c>
    </row>
    <row r="421" spans="1:119" x14ac:dyDescent="0.2">
      <c r="A421">
        <f>ROW(Source!A435)</f>
        <v>435</v>
      </c>
      <c r="B421">
        <v>94798619</v>
      </c>
      <c r="C421">
        <v>94802368</v>
      </c>
      <c r="D421">
        <v>37804368</v>
      </c>
      <c r="E421">
        <v>1</v>
      </c>
      <c r="F421">
        <v>1</v>
      </c>
      <c r="G421">
        <v>1</v>
      </c>
      <c r="H421">
        <v>2</v>
      </c>
      <c r="I421" t="s">
        <v>1042</v>
      </c>
      <c r="J421" t="s">
        <v>1043</v>
      </c>
      <c r="K421" t="s">
        <v>1044</v>
      </c>
      <c r="L421">
        <v>1368</v>
      </c>
      <c r="N421">
        <v>1011</v>
      </c>
      <c r="O421" t="s">
        <v>700</v>
      </c>
      <c r="P421" t="s">
        <v>700</v>
      </c>
      <c r="Q421">
        <v>1</v>
      </c>
      <c r="W421">
        <v>0</v>
      </c>
      <c r="X421">
        <v>1233998622</v>
      </c>
      <c r="Y421">
        <f t="shared" si="191"/>
        <v>3.71</v>
      </c>
      <c r="AA421">
        <v>0</v>
      </c>
      <c r="AB421">
        <v>1788.75</v>
      </c>
      <c r="AC421">
        <v>317.43</v>
      </c>
      <c r="AD421">
        <v>0</v>
      </c>
      <c r="AE421">
        <v>0</v>
      </c>
      <c r="AF421">
        <v>221.38</v>
      </c>
      <c r="AG421">
        <v>9</v>
      </c>
      <c r="AH421">
        <v>0</v>
      </c>
      <c r="AI421">
        <v>1</v>
      </c>
      <c r="AJ421">
        <v>8.08</v>
      </c>
      <c r="AK421">
        <v>35.270000000000003</v>
      </c>
      <c r="AL421">
        <v>1</v>
      </c>
      <c r="AM421">
        <v>2</v>
      </c>
      <c r="AN421">
        <v>0</v>
      </c>
      <c r="AO421">
        <v>1</v>
      </c>
      <c r="AP421">
        <v>0</v>
      </c>
      <c r="AQ421">
        <v>0</v>
      </c>
      <c r="AR421">
        <v>0</v>
      </c>
      <c r="AS421" t="s">
        <v>3</v>
      </c>
      <c r="AT421">
        <v>3.71</v>
      </c>
      <c r="AU421" t="s">
        <v>3</v>
      </c>
      <c r="AV421">
        <v>0</v>
      </c>
      <c r="AW421">
        <v>2</v>
      </c>
      <c r="AX421">
        <v>94802382</v>
      </c>
      <c r="AY421">
        <v>1</v>
      </c>
      <c r="AZ421">
        <v>0</v>
      </c>
      <c r="BA421">
        <v>421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V421">
        <v>0</v>
      </c>
      <c r="CW421">
        <f>ROUND(Y421*Source!I435*DO421,9)</f>
        <v>0</v>
      </c>
      <c r="CX421">
        <f>ROUND(Y421*Source!I435,9)</f>
        <v>0.1113</v>
      </c>
      <c r="CY421">
        <f t="shared" si="185"/>
        <v>1788.75</v>
      </c>
      <c r="CZ421">
        <f t="shared" si="186"/>
        <v>221.38</v>
      </c>
      <c r="DA421">
        <f t="shared" si="187"/>
        <v>8.08</v>
      </c>
      <c r="DB421">
        <f t="shared" si="192"/>
        <v>821.32</v>
      </c>
      <c r="DC421">
        <f t="shared" si="193"/>
        <v>33.39</v>
      </c>
      <c r="DD421" t="s">
        <v>3</v>
      </c>
      <c r="DE421" t="s">
        <v>3</v>
      </c>
      <c r="DF421">
        <f t="shared" si="178"/>
        <v>0</v>
      </c>
      <c r="DG421">
        <f t="shared" si="188"/>
        <v>199.09</v>
      </c>
      <c r="DH421">
        <f t="shared" si="189"/>
        <v>35.33</v>
      </c>
      <c r="DI421">
        <f t="shared" si="170"/>
        <v>0</v>
      </c>
      <c r="DJ421">
        <f t="shared" si="190"/>
        <v>199.09</v>
      </c>
      <c r="DK421">
        <v>0</v>
      </c>
      <c r="DL421" t="s">
        <v>3</v>
      </c>
      <c r="DM421">
        <v>0</v>
      </c>
      <c r="DN421" t="s">
        <v>3</v>
      </c>
      <c r="DO421">
        <v>0</v>
      </c>
    </row>
    <row r="422" spans="1:119" x14ac:dyDescent="0.2">
      <c r="A422">
        <f>ROW(Source!A435)</f>
        <v>435</v>
      </c>
      <c r="B422">
        <v>94798619</v>
      </c>
      <c r="C422">
        <v>94802368</v>
      </c>
      <c r="D422">
        <v>37804412</v>
      </c>
      <c r="E422">
        <v>1</v>
      </c>
      <c r="F422">
        <v>1</v>
      </c>
      <c r="G422">
        <v>1</v>
      </c>
      <c r="H422">
        <v>2</v>
      </c>
      <c r="I422" t="s">
        <v>1080</v>
      </c>
      <c r="J422" t="s">
        <v>1081</v>
      </c>
      <c r="K422" t="s">
        <v>1082</v>
      </c>
      <c r="L422">
        <v>1368</v>
      </c>
      <c r="N422">
        <v>1011</v>
      </c>
      <c r="O422" t="s">
        <v>700</v>
      </c>
      <c r="P422" t="s">
        <v>700</v>
      </c>
      <c r="Q422">
        <v>1</v>
      </c>
      <c r="W422">
        <v>0</v>
      </c>
      <c r="X422">
        <v>141533550</v>
      </c>
      <c r="Y422">
        <f t="shared" si="191"/>
        <v>1.52</v>
      </c>
      <c r="AA422">
        <v>0</v>
      </c>
      <c r="AB422">
        <v>75.180000000000007</v>
      </c>
      <c r="AC422">
        <v>0</v>
      </c>
      <c r="AD422">
        <v>0</v>
      </c>
      <c r="AE422">
        <v>0</v>
      </c>
      <c r="AF422">
        <v>21.06</v>
      </c>
      <c r="AG422">
        <v>0</v>
      </c>
      <c r="AH422">
        <v>0</v>
      </c>
      <c r="AI422">
        <v>1</v>
      </c>
      <c r="AJ422">
        <v>3.57</v>
      </c>
      <c r="AK422">
        <v>35.270000000000003</v>
      </c>
      <c r="AL422">
        <v>1</v>
      </c>
      <c r="AM422">
        <v>2</v>
      </c>
      <c r="AN422">
        <v>0</v>
      </c>
      <c r="AO422">
        <v>1</v>
      </c>
      <c r="AP422">
        <v>0</v>
      </c>
      <c r="AQ422">
        <v>0</v>
      </c>
      <c r="AR422">
        <v>0</v>
      </c>
      <c r="AS422" t="s">
        <v>3</v>
      </c>
      <c r="AT422">
        <v>1.52</v>
      </c>
      <c r="AU422" t="s">
        <v>3</v>
      </c>
      <c r="AV422">
        <v>0</v>
      </c>
      <c r="AW422">
        <v>2</v>
      </c>
      <c r="AX422">
        <v>94802383</v>
      </c>
      <c r="AY422">
        <v>1</v>
      </c>
      <c r="AZ422">
        <v>0</v>
      </c>
      <c r="BA422">
        <v>422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V422">
        <v>0</v>
      </c>
      <c r="CW422">
        <f>ROUND(Y422*Source!I435*DO422,9)</f>
        <v>0</v>
      </c>
      <c r="CX422">
        <f>ROUND(Y422*Source!I435,9)</f>
        <v>4.5600000000000002E-2</v>
      </c>
      <c r="CY422">
        <f t="shared" si="185"/>
        <v>75.180000000000007</v>
      </c>
      <c r="CZ422">
        <f t="shared" si="186"/>
        <v>21.06</v>
      </c>
      <c r="DA422">
        <f t="shared" si="187"/>
        <v>3.57</v>
      </c>
      <c r="DB422">
        <f t="shared" si="192"/>
        <v>32.01</v>
      </c>
      <c r="DC422">
        <f t="shared" si="193"/>
        <v>0</v>
      </c>
      <c r="DD422" t="s">
        <v>3</v>
      </c>
      <c r="DE422" t="s">
        <v>3</v>
      </c>
      <c r="DF422">
        <f t="shared" si="178"/>
        <v>0</v>
      </c>
      <c r="DG422">
        <f t="shared" si="188"/>
        <v>3.43</v>
      </c>
      <c r="DH422">
        <f t="shared" si="189"/>
        <v>0</v>
      </c>
      <c r="DI422">
        <f t="shared" si="170"/>
        <v>0</v>
      </c>
      <c r="DJ422">
        <f t="shared" si="190"/>
        <v>3.43</v>
      </c>
      <c r="DK422">
        <v>0</v>
      </c>
      <c r="DL422" t="s">
        <v>3</v>
      </c>
      <c r="DM422">
        <v>0</v>
      </c>
      <c r="DN422" t="s">
        <v>3</v>
      </c>
      <c r="DO422">
        <v>0</v>
      </c>
    </row>
    <row r="423" spans="1:119" x14ac:dyDescent="0.2">
      <c r="A423">
        <f>ROW(Source!A435)</f>
        <v>435</v>
      </c>
      <c r="B423">
        <v>94798619</v>
      </c>
      <c r="C423">
        <v>94802368</v>
      </c>
      <c r="D423">
        <v>37804485</v>
      </c>
      <c r="E423">
        <v>1</v>
      </c>
      <c r="F423">
        <v>1</v>
      </c>
      <c r="G423">
        <v>1</v>
      </c>
      <c r="H423">
        <v>2</v>
      </c>
      <c r="I423" t="s">
        <v>1051</v>
      </c>
      <c r="J423" t="s">
        <v>1052</v>
      </c>
      <c r="K423" t="s">
        <v>1053</v>
      </c>
      <c r="L423">
        <v>1368</v>
      </c>
      <c r="N423">
        <v>1011</v>
      </c>
      <c r="O423" t="s">
        <v>700</v>
      </c>
      <c r="P423" t="s">
        <v>700</v>
      </c>
      <c r="Q423">
        <v>1</v>
      </c>
      <c r="W423">
        <v>0</v>
      </c>
      <c r="X423">
        <v>-1228136913</v>
      </c>
      <c r="Y423">
        <f t="shared" si="191"/>
        <v>0.2</v>
      </c>
      <c r="AA423">
        <v>0</v>
      </c>
      <c r="AB423">
        <v>1506.32</v>
      </c>
      <c r="AC423">
        <v>365.04</v>
      </c>
      <c r="AD423">
        <v>0</v>
      </c>
      <c r="AE423">
        <v>0</v>
      </c>
      <c r="AF423">
        <v>119.36</v>
      </c>
      <c r="AG423">
        <v>10.35</v>
      </c>
      <c r="AH423">
        <v>0</v>
      </c>
      <c r="AI423">
        <v>1</v>
      </c>
      <c r="AJ423">
        <v>12.62</v>
      </c>
      <c r="AK423">
        <v>35.270000000000003</v>
      </c>
      <c r="AL423">
        <v>1</v>
      </c>
      <c r="AM423">
        <v>2</v>
      </c>
      <c r="AN423">
        <v>0</v>
      </c>
      <c r="AO423">
        <v>1</v>
      </c>
      <c r="AP423">
        <v>0</v>
      </c>
      <c r="AQ423">
        <v>0</v>
      </c>
      <c r="AR423">
        <v>0</v>
      </c>
      <c r="AS423" t="s">
        <v>3</v>
      </c>
      <c r="AT423">
        <v>0.2</v>
      </c>
      <c r="AU423" t="s">
        <v>3</v>
      </c>
      <c r="AV423">
        <v>0</v>
      </c>
      <c r="AW423">
        <v>2</v>
      </c>
      <c r="AX423">
        <v>94802384</v>
      </c>
      <c r="AY423">
        <v>1</v>
      </c>
      <c r="AZ423">
        <v>0</v>
      </c>
      <c r="BA423">
        <v>423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V423">
        <v>0</v>
      </c>
      <c r="CW423">
        <f>ROUND(Y423*Source!I435*DO423,9)</f>
        <v>0</v>
      </c>
      <c r="CX423">
        <f>ROUND(Y423*Source!I435,9)</f>
        <v>6.0000000000000001E-3</v>
      </c>
      <c r="CY423">
        <f t="shared" si="185"/>
        <v>1506.32</v>
      </c>
      <c r="CZ423">
        <f t="shared" si="186"/>
        <v>119.36</v>
      </c>
      <c r="DA423">
        <f t="shared" si="187"/>
        <v>12.62</v>
      </c>
      <c r="DB423">
        <f t="shared" si="192"/>
        <v>23.87</v>
      </c>
      <c r="DC423">
        <f t="shared" si="193"/>
        <v>2.0699999999999998</v>
      </c>
      <c r="DD423" t="s">
        <v>3</v>
      </c>
      <c r="DE423" t="s">
        <v>3</v>
      </c>
      <c r="DF423">
        <f t="shared" si="178"/>
        <v>0</v>
      </c>
      <c r="DG423">
        <f t="shared" si="188"/>
        <v>9.0399999999999991</v>
      </c>
      <c r="DH423">
        <f t="shared" si="189"/>
        <v>2.19</v>
      </c>
      <c r="DI423">
        <f t="shared" si="170"/>
        <v>0</v>
      </c>
      <c r="DJ423">
        <f t="shared" si="190"/>
        <v>9.0399999999999991</v>
      </c>
      <c r="DK423">
        <v>0</v>
      </c>
      <c r="DL423" t="s">
        <v>3</v>
      </c>
      <c r="DM423">
        <v>0</v>
      </c>
      <c r="DN423" t="s">
        <v>3</v>
      </c>
      <c r="DO423">
        <v>0</v>
      </c>
    </row>
    <row r="424" spans="1:119" x14ac:dyDescent="0.2">
      <c r="A424">
        <f>ROW(Source!A435)</f>
        <v>435</v>
      </c>
      <c r="B424">
        <v>94798619</v>
      </c>
      <c r="C424">
        <v>94802368</v>
      </c>
      <c r="D424">
        <v>37735405</v>
      </c>
      <c r="E424">
        <v>1</v>
      </c>
      <c r="F424">
        <v>1</v>
      </c>
      <c r="G424">
        <v>1</v>
      </c>
      <c r="H424">
        <v>3</v>
      </c>
      <c r="I424" t="s">
        <v>1054</v>
      </c>
      <c r="J424" t="s">
        <v>1055</v>
      </c>
      <c r="K424" t="s">
        <v>1056</v>
      </c>
      <c r="L424">
        <v>1348</v>
      </c>
      <c r="N424">
        <v>1009</v>
      </c>
      <c r="O424" t="s">
        <v>170</v>
      </c>
      <c r="P424" t="s">
        <v>170</v>
      </c>
      <c r="Q424">
        <v>1000</v>
      </c>
      <c r="W424">
        <v>0</v>
      </c>
      <c r="X424">
        <v>-2108161735</v>
      </c>
      <c r="Y424">
        <f t="shared" si="191"/>
        <v>8.0000000000000004E-4</v>
      </c>
      <c r="AA424">
        <v>60069.67</v>
      </c>
      <c r="AB424">
        <v>0</v>
      </c>
      <c r="AC424">
        <v>0</v>
      </c>
      <c r="AD424">
        <v>0</v>
      </c>
      <c r="AE424">
        <v>5989</v>
      </c>
      <c r="AF424">
        <v>0</v>
      </c>
      <c r="AG424">
        <v>0</v>
      </c>
      <c r="AH424">
        <v>0</v>
      </c>
      <c r="AI424">
        <v>10.029999999999999</v>
      </c>
      <c r="AJ424">
        <v>1</v>
      </c>
      <c r="AK424">
        <v>1</v>
      </c>
      <c r="AL424">
        <v>1</v>
      </c>
      <c r="AM424">
        <v>2</v>
      </c>
      <c r="AN424">
        <v>0</v>
      </c>
      <c r="AO424">
        <v>1</v>
      </c>
      <c r="AP424">
        <v>0</v>
      </c>
      <c r="AQ424">
        <v>0</v>
      </c>
      <c r="AR424">
        <v>0</v>
      </c>
      <c r="AS424" t="s">
        <v>3</v>
      </c>
      <c r="AT424">
        <v>8.0000000000000004E-4</v>
      </c>
      <c r="AU424" t="s">
        <v>3</v>
      </c>
      <c r="AV424">
        <v>0</v>
      </c>
      <c r="AW424">
        <v>2</v>
      </c>
      <c r="AX424">
        <v>94802385</v>
      </c>
      <c r="AY424">
        <v>1</v>
      </c>
      <c r="AZ424">
        <v>0</v>
      </c>
      <c r="BA424">
        <v>424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V424">
        <v>0</v>
      </c>
      <c r="CW424">
        <v>0</v>
      </c>
      <c r="CX424">
        <f>ROUND(Y424*Source!I435,9)</f>
        <v>2.4000000000000001E-5</v>
      </c>
      <c r="CY424">
        <f t="shared" ref="CY424:CY431" si="194">AA424</f>
        <v>60069.67</v>
      </c>
      <c r="CZ424">
        <f t="shared" ref="CZ424:CZ431" si="195">AE424</f>
        <v>5989</v>
      </c>
      <c r="DA424">
        <f t="shared" ref="DA424:DA431" si="196">AI424</f>
        <v>10.029999999999999</v>
      </c>
      <c r="DB424">
        <f t="shared" si="192"/>
        <v>4.79</v>
      </c>
      <c r="DC424">
        <f t="shared" si="193"/>
        <v>0</v>
      </c>
      <c r="DD424" t="s">
        <v>3</v>
      </c>
      <c r="DE424" t="s">
        <v>3</v>
      </c>
      <c r="DF424">
        <f t="shared" ref="DF424:DF431" si="197">ROUND(ROUND(AE424*AI424,2)*CX424,2)</f>
        <v>1.44</v>
      </c>
      <c r="DG424">
        <f t="shared" ref="DG424:DG433" si="198">ROUND(ROUND(AF424,2)*CX424,2)</f>
        <v>0</v>
      </c>
      <c r="DH424">
        <f t="shared" ref="DH424:DH433" si="199">ROUND(ROUND(AG424,2)*CX424,2)</f>
        <v>0</v>
      </c>
      <c r="DI424">
        <f t="shared" si="170"/>
        <v>0</v>
      </c>
      <c r="DJ424">
        <f t="shared" ref="DJ424:DJ431" si="200">DF424</f>
        <v>1.44</v>
      </c>
      <c r="DK424">
        <v>0</v>
      </c>
      <c r="DL424" t="s">
        <v>3</v>
      </c>
      <c r="DM424">
        <v>0</v>
      </c>
      <c r="DN424" t="s">
        <v>3</v>
      </c>
      <c r="DO424">
        <v>0</v>
      </c>
    </row>
    <row r="425" spans="1:119" x14ac:dyDescent="0.2">
      <c r="A425">
        <f>ROW(Source!A435)</f>
        <v>435</v>
      </c>
      <c r="B425">
        <v>94798619</v>
      </c>
      <c r="C425">
        <v>94802368</v>
      </c>
      <c r="D425">
        <v>37737522</v>
      </c>
      <c r="E425">
        <v>1</v>
      </c>
      <c r="F425">
        <v>1</v>
      </c>
      <c r="G425">
        <v>1</v>
      </c>
      <c r="H425">
        <v>3</v>
      </c>
      <c r="I425" t="s">
        <v>1083</v>
      </c>
      <c r="J425" t="s">
        <v>1084</v>
      </c>
      <c r="K425" t="s">
        <v>1085</v>
      </c>
      <c r="L425">
        <v>1354</v>
      </c>
      <c r="N425">
        <v>1010</v>
      </c>
      <c r="O425" t="s">
        <v>47</v>
      </c>
      <c r="P425" t="s">
        <v>47</v>
      </c>
      <c r="Q425">
        <v>1</v>
      </c>
      <c r="W425">
        <v>0</v>
      </c>
      <c r="X425">
        <v>5662559</v>
      </c>
      <c r="Y425">
        <f t="shared" si="191"/>
        <v>0.78200000000000003</v>
      </c>
      <c r="AA425">
        <v>8131.3</v>
      </c>
      <c r="AB425">
        <v>0</v>
      </c>
      <c r="AC425">
        <v>0</v>
      </c>
      <c r="AD425">
        <v>0</v>
      </c>
      <c r="AE425">
        <v>748.05</v>
      </c>
      <c r="AF425">
        <v>0</v>
      </c>
      <c r="AG425">
        <v>0</v>
      </c>
      <c r="AH425">
        <v>0</v>
      </c>
      <c r="AI425">
        <v>10.87</v>
      </c>
      <c r="AJ425">
        <v>1</v>
      </c>
      <c r="AK425">
        <v>1</v>
      </c>
      <c r="AL425">
        <v>1</v>
      </c>
      <c r="AM425">
        <v>2</v>
      </c>
      <c r="AN425">
        <v>0</v>
      </c>
      <c r="AO425">
        <v>1</v>
      </c>
      <c r="AP425">
        <v>0</v>
      </c>
      <c r="AQ425">
        <v>0</v>
      </c>
      <c r="AR425">
        <v>0</v>
      </c>
      <c r="AS425" t="s">
        <v>3</v>
      </c>
      <c r="AT425">
        <v>0.78200000000000003</v>
      </c>
      <c r="AU425" t="s">
        <v>3</v>
      </c>
      <c r="AV425">
        <v>0</v>
      </c>
      <c r="AW425">
        <v>2</v>
      </c>
      <c r="AX425">
        <v>94802386</v>
      </c>
      <c r="AY425">
        <v>1</v>
      </c>
      <c r="AZ425">
        <v>0</v>
      </c>
      <c r="BA425">
        <v>425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V425">
        <v>0</v>
      </c>
      <c r="CW425">
        <v>0</v>
      </c>
      <c r="CX425">
        <f>ROUND(Y425*Source!I435,9)</f>
        <v>2.3460000000000002E-2</v>
      </c>
      <c r="CY425">
        <f t="shared" si="194"/>
        <v>8131.3</v>
      </c>
      <c r="CZ425">
        <f t="shared" si="195"/>
        <v>748.05</v>
      </c>
      <c r="DA425">
        <f t="shared" si="196"/>
        <v>10.87</v>
      </c>
      <c r="DB425">
        <f t="shared" si="192"/>
        <v>584.98</v>
      </c>
      <c r="DC425">
        <f t="shared" si="193"/>
        <v>0</v>
      </c>
      <c r="DD425" t="s">
        <v>3</v>
      </c>
      <c r="DE425" t="s">
        <v>3</v>
      </c>
      <c r="DF425">
        <f t="shared" si="197"/>
        <v>190.76</v>
      </c>
      <c r="DG425">
        <f t="shared" si="198"/>
        <v>0</v>
      </c>
      <c r="DH425">
        <f t="shared" si="199"/>
        <v>0</v>
      </c>
      <c r="DI425">
        <f t="shared" si="170"/>
        <v>0</v>
      </c>
      <c r="DJ425">
        <f t="shared" si="200"/>
        <v>190.76</v>
      </c>
      <c r="DK425">
        <v>0</v>
      </c>
      <c r="DL425" t="s">
        <v>3</v>
      </c>
      <c r="DM425">
        <v>0</v>
      </c>
      <c r="DN425" t="s">
        <v>3</v>
      </c>
      <c r="DO425">
        <v>0</v>
      </c>
    </row>
    <row r="426" spans="1:119" x14ac:dyDescent="0.2">
      <c r="A426">
        <f>ROW(Source!A435)</f>
        <v>435</v>
      </c>
      <c r="B426">
        <v>94798619</v>
      </c>
      <c r="C426">
        <v>94802368</v>
      </c>
      <c r="D426">
        <v>37730358</v>
      </c>
      <c r="E426">
        <v>1</v>
      </c>
      <c r="F426">
        <v>1</v>
      </c>
      <c r="G426">
        <v>1</v>
      </c>
      <c r="H426">
        <v>3</v>
      </c>
      <c r="I426" t="s">
        <v>1057</v>
      </c>
      <c r="J426" t="s">
        <v>1058</v>
      </c>
      <c r="K426" t="s">
        <v>1059</v>
      </c>
      <c r="L426">
        <v>1348</v>
      </c>
      <c r="N426">
        <v>1009</v>
      </c>
      <c r="O426" t="s">
        <v>170</v>
      </c>
      <c r="P426" t="s">
        <v>170</v>
      </c>
      <c r="Q426">
        <v>1000</v>
      </c>
      <c r="W426">
        <v>0</v>
      </c>
      <c r="X426">
        <v>-950616880</v>
      </c>
      <c r="Y426">
        <f t="shared" si="191"/>
        <v>2.3999999999999998E-3</v>
      </c>
      <c r="AA426">
        <v>354721.8</v>
      </c>
      <c r="AB426">
        <v>0</v>
      </c>
      <c r="AC426">
        <v>0</v>
      </c>
      <c r="AD426">
        <v>0</v>
      </c>
      <c r="AE426">
        <v>45130</v>
      </c>
      <c r="AF426">
        <v>0</v>
      </c>
      <c r="AG426">
        <v>0</v>
      </c>
      <c r="AH426">
        <v>0</v>
      </c>
      <c r="AI426">
        <v>7.86</v>
      </c>
      <c r="AJ426">
        <v>1</v>
      </c>
      <c r="AK426">
        <v>1</v>
      </c>
      <c r="AL426">
        <v>1</v>
      </c>
      <c r="AM426">
        <v>2</v>
      </c>
      <c r="AN426">
        <v>0</v>
      </c>
      <c r="AO426">
        <v>1</v>
      </c>
      <c r="AP426">
        <v>0</v>
      </c>
      <c r="AQ426">
        <v>0</v>
      </c>
      <c r="AR426">
        <v>0</v>
      </c>
      <c r="AS426" t="s">
        <v>3</v>
      </c>
      <c r="AT426">
        <v>2.3999999999999998E-3</v>
      </c>
      <c r="AU426" t="s">
        <v>3</v>
      </c>
      <c r="AV426">
        <v>0</v>
      </c>
      <c r="AW426">
        <v>2</v>
      </c>
      <c r="AX426">
        <v>94802387</v>
      </c>
      <c r="AY426">
        <v>1</v>
      </c>
      <c r="AZ426">
        <v>0</v>
      </c>
      <c r="BA426">
        <v>426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V426">
        <v>0</v>
      </c>
      <c r="CW426">
        <v>0</v>
      </c>
      <c r="CX426">
        <f>ROUND(Y426*Source!I435,9)</f>
        <v>7.2000000000000002E-5</v>
      </c>
      <c r="CY426">
        <f t="shared" si="194"/>
        <v>354721.8</v>
      </c>
      <c r="CZ426">
        <f t="shared" si="195"/>
        <v>45130</v>
      </c>
      <c r="DA426">
        <f t="shared" si="196"/>
        <v>7.86</v>
      </c>
      <c r="DB426">
        <f t="shared" si="192"/>
        <v>108.31</v>
      </c>
      <c r="DC426">
        <f t="shared" si="193"/>
        <v>0</v>
      </c>
      <c r="DD426" t="s">
        <v>3</v>
      </c>
      <c r="DE426" t="s">
        <v>3</v>
      </c>
      <c r="DF426">
        <f t="shared" si="197"/>
        <v>25.54</v>
      </c>
      <c r="DG426">
        <f t="shared" si="198"/>
        <v>0</v>
      </c>
      <c r="DH426">
        <f t="shared" si="199"/>
        <v>0</v>
      </c>
      <c r="DI426">
        <f t="shared" si="170"/>
        <v>0</v>
      </c>
      <c r="DJ426">
        <f t="shared" si="200"/>
        <v>25.54</v>
      </c>
      <c r="DK426">
        <v>0</v>
      </c>
      <c r="DL426" t="s">
        <v>3</v>
      </c>
      <c r="DM426">
        <v>0</v>
      </c>
      <c r="DN426" t="s">
        <v>3</v>
      </c>
      <c r="DO426">
        <v>0</v>
      </c>
    </row>
    <row r="427" spans="1:119" x14ac:dyDescent="0.2">
      <c r="A427">
        <f>ROW(Source!A435)</f>
        <v>435</v>
      </c>
      <c r="B427">
        <v>94798619</v>
      </c>
      <c r="C427">
        <v>94802368</v>
      </c>
      <c r="D427">
        <v>37730500</v>
      </c>
      <c r="E427">
        <v>1</v>
      </c>
      <c r="F427">
        <v>1</v>
      </c>
      <c r="G427">
        <v>1</v>
      </c>
      <c r="H427">
        <v>3</v>
      </c>
      <c r="I427" t="s">
        <v>1060</v>
      </c>
      <c r="J427" t="s">
        <v>1061</v>
      </c>
      <c r="K427" t="s">
        <v>1062</v>
      </c>
      <c r="L427">
        <v>1348</v>
      </c>
      <c r="N427">
        <v>1009</v>
      </c>
      <c r="O427" t="s">
        <v>170</v>
      </c>
      <c r="P427" t="s">
        <v>170</v>
      </c>
      <c r="Q427">
        <v>1000</v>
      </c>
      <c r="W427">
        <v>0</v>
      </c>
      <c r="X427">
        <v>-1018410528</v>
      </c>
      <c r="Y427">
        <f t="shared" si="191"/>
        <v>4.0000000000000001E-3</v>
      </c>
      <c r="AA427">
        <v>36269.71</v>
      </c>
      <c r="AB427">
        <v>0</v>
      </c>
      <c r="AC427">
        <v>0</v>
      </c>
      <c r="AD427">
        <v>0</v>
      </c>
      <c r="AE427">
        <v>1654.64</v>
      </c>
      <c r="AF427">
        <v>0</v>
      </c>
      <c r="AG427">
        <v>0</v>
      </c>
      <c r="AH427">
        <v>0</v>
      </c>
      <c r="AI427">
        <v>21.92</v>
      </c>
      <c r="AJ427">
        <v>1</v>
      </c>
      <c r="AK427">
        <v>1</v>
      </c>
      <c r="AL427">
        <v>1</v>
      </c>
      <c r="AM427">
        <v>2</v>
      </c>
      <c r="AN427">
        <v>0</v>
      </c>
      <c r="AO427">
        <v>1</v>
      </c>
      <c r="AP427">
        <v>0</v>
      </c>
      <c r="AQ427">
        <v>0</v>
      </c>
      <c r="AR427">
        <v>0</v>
      </c>
      <c r="AS427" t="s">
        <v>3</v>
      </c>
      <c r="AT427">
        <v>4.0000000000000001E-3</v>
      </c>
      <c r="AU427" t="s">
        <v>3</v>
      </c>
      <c r="AV427">
        <v>0</v>
      </c>
      <c r="AW427">
        <v>2</v>
      </c>
      <c r="AX427">
        <v>94802388</v>
      </c>
      <c r="AY427">
        <v>1</v>
      </c>
      <c r="AZ427">
        <v>0</v>
      </c>
      <c r="BA427">
        <v>427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V427">
        <v>0</v>
      </c>
      <c r="CW427">
        <v>0</v>
      </c>
      <c r="CX427">
        <f>ROUND(Y427*Source!I435,9)</f>
        <v>1.2E-4</v>
      </c>
      <c r="CY427">
        <f t="shared" si="194"/>
        <v>36269.71</v>
      </c>
      <c r="CZ427">
        <f t="shared" si="195"/>
        <v>1654.64</v>
      </c>
      <c r="DA427">
        <f t="shared" si="196"/>
        <v>21.92</v>
      </c>
      <c r="DB427">
        <f t="shared" si="192"/>
        <v>6.62</v>
      </c>
      <c r="DC427">
        <f t="shared" si="193"/>
        <v>0</v>
      </c>
      <c r="DD427" t="s">
        <v>3</v>
      </c>
      <c r="DE427" t="s">
        <v>3</v>
      </c>
      <c r="DF427">
        <f t="shared" si="197"/>
        <v>4.3499999999999996</v>
      </c>
      <c r="DG427">
        <f t="shared" si="198"/>
        <v>0</v>
      </c>
      <c r="DH427">
        <f t="shared" si="199"/>
        <v>0</v>
      </c>
      <c r="DI427">
        <f t="shared" si="170"/>
        <v>0</v>
      </c>
      <c r="DJ427">
        <f t="shared" si="200"/>
        <v>4.3499999999999996</v>
      </c>
      <c r="DK427">
        <v>0</v>
      </c>
      <c r="DL427" t="s">
        <v>3</v>
      </c>
      <c r="DM427">
        <v>0</v>
      </c>
      <c r="DN427" t="s">
        <v>3</v>
      </c>
      <c r="DO427">
        <v>0</v>
      </c>
    </row>
    <row r="428" spans="1:119" x14ac:dyDescent="0.2">
      <c r="A428">
        <f>ROW(Source!A435)</f>
        <v>435</v>
      </c>
      <c r="B428">
        <v>94798619</v>
      </c>
      <c r="C428">
        <v>94802368</v>
      </c>
      <c r="D428">
        <v>37736785</v>
      </c>
      <c r="E428">
        <v>1</v>
      </c>
      <c r="F428">
        <v>1</v>
      </c>
      <c r="G428">
        <v>1</v>
      </c>
      <c r="H428">
        <v>3</v>
      </c>
      <c r="I428" t="s">
        <v>1066</v>
      </c>
      <c r="J428" t="s">
        <v>1067</v>
      </c>
      <c r="K428" t="s">
        <v>353</v>
      </c>
      <c r="L428">
        <v>1348</v>
      </c>
      <c r="N428">
        <v>1009</v>
      </c>
      <c r="O428" t="s">
        <v>170</v>
      </c>
      <c r="P428" t="s">
        <v>170</v>
      </c>
      <c r="Q428">
        <v>1000</v>
      </c>
      <c r="W428">
        <v>0</v>
      </c>
      <c r="X428">
        <v>-1485663071</v>
      </c>
      <c r="Y428">
        <f t="shared" si="191"/>
        <v>1.2E-2</v>
      </c>
      <c r="AA428">
        <v>104807.88</v>
      </c>
      <c r="AB428">
        <v>0</v>
      </c>
      <c r="AC428">
        <v>0</v>
      </c>
      <c r="AD428">
        <v>0</v>
      </c>
      <c r="AE428">
        <v>10068</v>
      </c>
      <c r="AF428">
        <v>0</v>
      </c>
      <c r="AG428">
        <v>0</v>
      </c>
      <c r="AH428">
        <v>0</v>
      </c>
      <c r="AI428">
        <v>10.41</v>
      </c>
      <c r="AJ428">
        <v>1</v>
      </c>
      <c r="AK428">
        <v>1</v>
      </c>
      <c r="AL428">
        <v>1</v>
      </c>
      <c r="AM428">
        <v>2</v>
      </c>
      <c r="AN428">
        <v>0</v>
      </c>
      <c r="AO428">
        <v>1</v>
      </c>
      <c r="AP428">
        <v>0</v>
      </c>
      <c r="AQ428">
        <v>0</v>
      </c>
      <c r="AR428">
        <v>0</v>
      </c>
      <c r="AS428" t="s">
        <v>3</v>
      </c>
      <c r="AT428">
        <v>1.2E-2</v>
      </c>
      <c r="AU428" t="s">
        <v>3</v>
      </c>
      <c r="AV428">
        <v>0</v>
      </c>
      <c r="AW428">
        <v>2</v>
      </c>
      <c r="AX428">
        <v>94802389</v>
      </c>
      <c r="AY428">
        <v>1</v>
      </c>
      <c r="AZ428">
        <v>0</v>
      </c>
      <c r="BA428">
        <v>428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V428">
        <v>0</v>
      </c>
      <c r="CW428">
        <v>0</v>
      </c>
      <c r="CX428">
        <f>ROUND(Y428*Source!I435,9)</f>
        <v>3.6000000000000002E-4</v>
      </c>
      <c r="CY428">
        <f t="shared" si="194"/>
        <v>104807.88</v>
      </c>
      <c r="CZ428">
        <f t="shared" si="195"/>
        <v>10068</v>
      </c>
      <c r="DA428">
        <f t="shared" si="196"/>
        <v>10.41</v>
      </c>
      <c r="DB428">
        <f t="shared" si="192"/>
        <v>120.82</v>
      </c>
      <c r="DC428">
        <f t="shared" si="193"/>
        <v>0</v>
      </c>
      <c r="DD428" t="s">
        <v>3</v>
      </c>
      <c r="DE428" t="s">
        <v>3</v>
      </c>
      <c r="DF428">
        <f t="shared" si="197"/>
        <v>37.729999999999997</v>
      </c>
      <c r="DG428">
        <f t="shared" si="198"/>
        <v>0</v>
      </c>
      <c r="DH428">
        <f t="shared" si="199"/>
        <v>0</v>
      </c>
      <c r="DI428">
        <f t="shared" si="170"/>
        <v>0</v>
      </c>
      <c r="DJ428">
        <f t="shared" si="200"/>
        <v>37.729999999999997</v>
      </c>
      <c r="DK428">
        <v>0</v>
      </c>
      <c r="DL428" t="s">
        <v>3</v>
      </c>
      <c r="DM428">
        <v>0</v>
      </c>
      <c r="DN428" t="s">
        <v>3</v>
      </c>
      <c r="DO428">
        <v>0</v>
      </c>
    </row>
    <row r="429" spans="1:119" x14ac:dyDescent="0.2">
      <c r="A429">
        <f>ROW(Source!A435)</f>
        <v>435</v>
      </c>
      <c r="B429">
        <v>94798619</v>
      </c>
      <c r="C429">
        <v>94802368</v>
      </c>
      <c r="D429">
        <v>37753215</v>
      </c>
      <c r="E429">
        <v>1</v>
      </c>
      <c r="F429">
        <v>1</v>
      </c>
      <c r="G429">
        <v>1</v>
      </c>
      <c r="H429">
        <v>3</v>
      </c>
      <c r="I429" t="s">
        <v>1068</v>
      </c>
      <c r="J429" t="s">
        <v>1069</v>
      </c>
      <c r="K429" t="s">
        <v>1070</v>
      </c>
      <c r="L429">
        <v>1348</v>
      </c>
      <c r="N429">
        <v>1009</v>
      </c>
      <c r="O429" t="s">
        <v>170</v>
      </c>
      <c r="P429" t="s">
        <v>170</v>
      </c>
      <c r="Q429">
        <v>1000</v>
      </c>
      <c r="W429">
        <v>0</v>
      </c>
      <c r="X429">
        <v>105158306</v>
      </c>
      <c r="Y429">
        <f t="shared" si="191"/>
        <v>8.0000000000000004E-4</v>
      </c>
      <c r="AA429">
        <v>70620.23</v>
      </c>
      <c r="AB429">
        <v>0</v>
      </c>
      <c r="AC429">
        <v>0</v>
      </c>
      <c r="AD429">
        <v>0</v>
      </c>
      <c r="AE429">
        <v>5565.03</v>
      </c>
      <c r="AF429">
        <v>0</v>
      </c>
      <c r="AG429">
        <v>0</v>
      </c>
      <c r="AH429">
        <v>0</v>
      </c>
      <c r="AI429">
        <v>12.69</v>
      </c>
      <c r="AJ429">
        <v>1</v>
      </c>
      <c r="AK429">
        <v>1</v>
      </c>
      <c r="AL429">
        <v>1</v>
      </c>
      <c r="AM429">
        <v>2</v>
      </c>
      <c r="AN429">
        <v>0</v>
      </c>
      <c r="AO429">
        <v>1</v>
      </c>
      <c r="AP429">
        <v>0</v>
      </c>
      <c r="AQ429">
        <v>0</v>
      </c>
      <c r="AR429">
        <v>0</v>
      </c>
      <c r="AS429" t="s">
        <v>3</v>
      </c>
      <c r="AT429">
        <v>8.0000000000000004E-4</v>
      </c>
      <c r="AU429" t="s">
        <v>3</v>
      </c>
      <c r="AV429">
        <v>0</v>
      </c>
      <c r="AW429">
        <v>2</v>
      </c>
      <c r="AX429">
        <v>94802390</v>
      </c>
      <c r="AY429">
        <v>1</v>
      </c>
      <c r="AZ429">
        <v>0</v>
      </c>
      <c r="BA429">
        <v>429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V429">
        <v>0</v>
      </c>
      <c r="CW429">
        <v>0</v>
      </c>
      <c r="CX429">
        <f>ROUND(Y429*Source!I435,9)</f>
        <v>2.4000000000000001E-5</v>
      </c>
      <c r="CY429">
        <f t="shared" si="194"/>
        <v>70620.23</v>
      </c>
      <c r="CZ429">
        <f t="shared" si="195"/>
        <v>5565.03</v>
      </c>
      <c r="DA429">
        <f t="shared" si="196"/>
        <v>12.69</v>
      </c>
      <c r="DB429">
        <f t="shared" si="192"/>
        <v>4.45</v>
      </c>
      <c r="DC429">
        <f t="shared" si="193"/>
        <v>0</v>
      </c>
      <c r="DD429" t="s">
        <v>3</v>
      </c>
      <c r="DE429" t="s">
        <v>3</v>
      </c>
      <c r="DF429">
        <f t="shared" si="197"/>
        <v>1.69</v>
      </c>
      <c r="DG429">
        <f t="shared" si="198"/>
        <v>0</v>
      </c>
      <c r="DH429">
        <f t="shared" si="199"/>
        <v>0</v>
      </c>
      <c r="DI429">
        <f t="shared" si="170"/>
        <v>0</v>
      </c>
      <c r="DJ429">
        <f t="shared" si="200"/>
        <v>1.69</v>
      </c>
      <c r="DK429">
        <v>0</v>
      </c>
      <c r="DL429" t="s">
        <v>3</v>
      </c>
      <c r="DM429">
        <v>0</v>
      </c>
      <c r="DN429" t="s">
        <v>3</v>
      </c>
      <c r="DO429">
        <v>0</v>
      </c>
    </row>
    <row r="430" spans="1:119" x14ac:dyDescent="0.2">
      <c r="A430">
        <f>ROW(Source!A435)</f>
        <v>435</v>
      </c>
      <c r="B430">
        <v>94798619</v>
      </c>
      <c r="C430">
        <v>94802368</v>
      </c>
      <c r="D430">
        <v>37777720</v>
      </c>
      <c r="E430">
        <v>1</v>
      </c>
      <c r="F430">
        <v>1</v>
      </c>
      <c r="G430">
        <v>1</v>
      </c>
      <c r="H430">
        <v>3</v>
      </c>
      <c r="I430" t="s">
        <v>1086</v>
      </c>
      <c r="J430" t="s">
        <v>1087</v>
      </c>
      <c r="K430" t="s">
        <v>1088</v>
      </c>
      <c r="L430">
        <v>1348</v>
      </c>
      <c r="N430">
        <v>1009</v>
      </c>
      <c r="O430" t="s">
        <v>170</v>
      </c>
      <c r="P430" t="s">
        <v>170</v>
      </c>
      <c r="Q430">
        <v>1000</v>
      </c>
      <c r="W430">
        <v>0</v>
      </c>
      <c r="X430">
        <v>1424614866</v>
      </c>
      <c r="Y430">
        <f t="shared" si="191"/>
        <v>105.26</v>
      </c>
      <c r="AA430">
        <v>9084.6</v>
      </c>
      <c r="AB430">
        <v>0</v>
      </c>
      <c r="AC430">
        <v>0</v>
      </c>
      <c r="AD430">
        <v>0</v>
      </c>
      <c r="AE430">
        <v>420</v>
      </c>
      <c r="AF430">
        <v>0</v>
      </c>
      <c r="AG430">
        <v>0</v>
      </c>
      <c r="AH430">
        <v>0</v>
      </c>
      <c r="AI430">
        <v>21.63</v>
      </c>
      <c r="AJ430">
        <v>1</v>
      </c>
      <c r="AK430">
        <v>1</v>
      </c>
      <c r="AL430">
        <v>1</v>
      </c>
      <c r="AM430">
        <v>2</v>
      </c>
      <c r="AN430">
        <v>0</v>
      </c>
      <c r="AO430">
        <v>1</v>
      </c>
      <c r="AP430">
        <v>0</v>
      </c>
      <c r="AQ430">
        <v>0</v>
      </c>
      <c r="AR430">
        <v>0</v>
      </c>
      <c r="AS430" t="s">
        <v>3</v>
      </c>
      <c r="AT430">
        <v>105.26</v>
      </c>
      <c r="AU430" t="s">
        <v>3</v>
      </c>
      <c r="AV430">
        <v>0</v>
      </c>
      <c r="AW430">
        <v>2</v>
      </c>
      <c r="AX430">
        <v>94802391</v>
      </c>
      <c r="AY430">
        <v>1</v>
      </c>
      <c r="AZ430">
        <v>0</v>
      </c>
      <c r="BA430">
        <v>430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V430">
        <v>0</v>
      </c>
      <c r="CW430">
        <v>0</v>
      </c>
      <c r="CX430">
        <f>ROUND(Y430*Source!I435,9)</f>
        <v>3.1577999999999999</v>
      </c>
      <c r="CY430">
        <f t="shared" si="194"/>
        <v>9084.6</v>
      </c>
      <c r="CZ430">
        <f t="shared" si="195"/>
        <v>420</v>
      </c>
      <c r="DA430">
        <f t="shared" si="196"/>
        <v>21.63</v>
      </c>
      <c r="DB430">
        <f t="shared" si="192"/>
        <v>44209.2</v>
      </c>
      <c r="DC430">
        <f t="shared" si="193"/>
        <v>0</v>
      </c>
      <c r="DD430" t="s">
        <v>3</v>
      </c>
      <c r="DE430" t="s">
        <v>3</v>
      </c>
      <c r="DF430">
        <f t="shared" si="197"/>
        <v>28687.35</v>
      </c>
      <c r="DG430">
        <f t="shared" si="198"/>
        <v>0</v>
      </c>
      <c r="DH430">
        <f t="shared" si="199"/>
        <v>0</v>
      </c>
      <c r="DI430">
        <f t="shared" si="170"/>
        <v>0</v>
      </c>
      <c r="DJ430">
        <f t="shared" si="200"/>
        <v>28687.35</v>
      </c>
      <c r="DK430">
        <v>0</v>
      </c>
      <c r="DL430" t="s">
        <v>3</v>
      </c>
      <c r="DM430">
        <v>0</v>
      </c>
      <c r="DN430" t="s">
        <v>3</v>
      </c>
      <c r="DO430">
        <v>0</v>
      </c>
    </row>
    <row r="431" spans="1:119" x14ac:dyDescent="0.2">
      <c r="A431">
        <f>ROW(Source!A435)</f>
        <v>435</v>
      </c>
      <c r="B431">
        <v>94798619</v>
      </c>
      <c r="C431">
        <v>94802368</v>
      </c>
      <c r="D431">
        <v>37777803</v>
      </c>
      <c r="E431">
        <v>1</v>
      </c>
      <c r="F431">
        <v>1</v>
      </c>
      <c r="G431">
        <v>1</v>
      </c>
      <c r="H431">
        <v>3</v>
      </c>
      <c r="I431" t="s">
        <v>1089</v>
      </c>
      <c r="J431" t="s">
        <v>1090</v>
      </c>
      <c r="K431" t="s">
        <v>1091</v>
      </c>
      <c r="L431">
        <v>1339</v>
      </c>
      <c r="N431">
        <v>1007</v>
      </c>
      <c r="O431" t="s">
        <v>52</v>
      </c>
      <c r="P431" t="s">
        <v>52</v>
      </c>
      <c r="Q431">
        <v>1</v>
      </c>
      <c r="W431">
        <v>0</v>
      </c>
      <c r="X431">
        <v>1617126220</v>
      </c>
      <c r="Y431">
        <f t="shared" si="191"/>
        <v>20.52</v>
      </c>
      <c r="AA431">
        <v>19.579999999999998</v>
      </c>
      <c r="AB431">
        <v>0</v>
      </c>
      <c r="AC431">
        <v>0</v>
      </c>
      <c r="AD431">
        <v>0</v>
      </c>
      <c r="AE431">
        <v>3.21</v>
      </c>
      <c r="AF431">
        <v>0</v>
      </c>
      <c r="AG431">
        <v>0</v>
      </c>
      <c r="AH431">
        <v>0</v>
      </c>
      <c r="AI431">
        <v>6.1</v>
      </c>
      <c r="AJ431">
        <v>1</v>
      </c>
      <c r="AK431">
        <v>1</v>
      </c>
      <c r="AL431">
        <v>1</v>
      </c>
      <c r="AM431">
        <v>2</v>
      </c>
      <c r="AN431">
        <v>0</v>
      </c>
      <c r="AO431">
        <v>1</v>
      </c>
      <c r="AP431">
        <v>0</v>
      </c>
      <c r="AQ431">
        <v>0</v>
      </c>
      <c r="AR431">
        <v>0</v>
      </c>
      <c r="AS431" t="s">
        <v>3</v>
      </c>
      <c r="AT431">
        <v>20.52</v>
      </c>
      <c r="AU431" t="s">
        <v>3</v>
      </c>
      <c r="AV431">
        <v>0</v>
      </c>
      <c r="AW431">
        <v>2</v>
      </c>
      <c r="AX431">
        <v>94802392</v>
      </c>
      <c r="AY431">
        <v>1</v>
      </c>
      <c r="AZ431">
        <v>0</v>
      </c>
      <c r="BA431">
        <v>431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V431">
        <v>0</v>
      </c>
      <c r="CW431">
        <v>0</v>
      </c>
      <c r="CX431">
        <f>ROUND(Y431*Source!I435,9)</f>
        <v>0.61560000000000004</v>
      </c>
      <c r="CY431">
        <f t="shared" si="194"/>
        <v>19.579999999999998</v>
      </c>
      <c r="CZ431">
        <f t="shared" si="195"/>
        <v>3.21</v>
      </c>
      <c r="DA431">
        <f t="shared" si="196"/>
        <v>6.1</v>
      </c>
      <c r="DB431">
        <f t="shared" si="192"/>
        <v>65.87</v>
      </c>
      <c r="DC431">
        <f t="shared" si="193"/>
        <v>0</v>
      </c>
      <c r="DD431" t="s">
        <v>3</v>
      </c>
      <c r="DE431" t="s">
        <v>3</v>
      </c>
      <c r="DF431">
        <f t="shared" si="197"/>
        <v>12.05</v>
      </c>
      <c r="DG431">
        <f t="shared" si="198"/>
        <v>0</v>
      </c>
      <c r="DH431">
        <f t="shared" si="199"/>
        <v>0</v>
      </c>
      <c r="DI431">
        <f t="shared" si="170"/>
        <v>0</v>
      </c>
      <c r="DJ431">
        <f t="shared" si="200"/>
        <v>12.05</v>
      </c>
      <c r="DK431">
        <v>0</v>
      </c>
      <c r="DL431" t="s">
        <v>3</v>
      </c>
      <c r="DM431">
        <v>0</v>
      </c>
      <c r="DN431" t="s">
        <v>3</v>
      </c>
      <c r="DO431">
        <v>0</v>
      </c>
    </row>
    <row r="432" spans="1:119" x14ac:dyDescent="0.2">
      <c r="A432">
        <f>ROW(Source!A436)</f>
        <v>436</v>
      </c>
      <c r="B432">
        <v>94798619</v>
      </c>
      <c r="C432">
        <v>94802662</v>
      </c>
      <c r="D432">
        <v>23129805</v>
      </c>
      <c r="E432">
        <v>1</v>
      </c>
      <c r="F432">
        <v>1</v>
      </c>
      <c r="G432">
        <v>1</v>
      </c>
      <c r="H432">
        <v>1</v>
      </c>
      <c r="I432" t="s">
        <v>703</v>
      </c>
      <c r="J432" t="s">
        <v>3</v>
      </c>
      <c r="K432" t="s">
        <v>704</v>
      </c>
      <c r="L432">
        <v>1369</v>
      </c>
      <c r="N432">
        <v>1013</v>
      </c>
      <c r="O432" t="s">
        <v>696</v>
      </c>
      <c r="P432" t="s">
        <v>696</v>
      </c>
      <c r="Q432">
        <v>1</v>
      </c>
      <c r="W432">
        <v>0</v>
      </c>
      <c r="X432">
        <v>756115135</v>
      </c>
      <c r="Y432">
        <f t="shared" si="191"/>
        <v>45.93</v>
      </c>
      <c r="AA432">
        <v>0</v>
      </c>
      <c r="AB432">
        <v>0</v>
      </c>
      <c r="AC432">
        <v>0</v>
      </c>
      <c r="AD432">
        <v>7.97</v>
      </c>
      <c r="AE432">
        <v>0</v>
      </c>
      <c r="AF432">
        <v>0</v>
      </c>
      <c r="AG432">
        <v>0</v>
      </c>
      <c r="AH432">
        <v>7.97</v>
      </c>
      <c r="AI432">
        <v>1</v>
      </c>
      <c r="AJ432">
        <v>1</v>
      </c>
      <c r="AK432">
        <v>1</v>
      </c>
      <c r="AL432">
        <v>1</v>
      </c>
      <c r="AM432">
        <v>-2</v>
      </c>
      <c r="AN432">
        <v>0</v>
      </c>
      <c r="AO432">
        <v>1</v>
      </c>
      <c r="AP432">
        <v>1</v>
      </c>
      <c r="AQ432">
        <v>0</v>
      </c>
      <c r="AR432">
        <v>0</v>
      </c>
      <c r="AS432" t="s">
        <v>3</v>
      </c>
      <c r="AT432">
        <v>45.93</v>
      </c>
      <c r="AU432" t="s">
        <v>3</v>
      </c>
      <c r="AV432">
        <v>1</v>
      </c>
      <c r="AW432">
        <v>2</v>
      </c>
      <c r="AX432">
        <v>94802663</v>
      </c>
      <c r="AY432">
        <v>1</v>
      </c>
      <c r="AZ432">
        <v>0</v>
      </c>
      <c r="BA432">
        <v>432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U432">
        <f>ROUND(AT432*Source!I436*AH432*AL432,2)</f>
        <v>46.12</v>
      </c>
      <c r="CV432">
        <f>ROUND(Y432*Source!I436,9)</f>
        <v>5.7871800000000002</v>
      </c>
      <c r="CW432">
        <v>0</v>
      </c>
      <c r="CX432">
        <f>ROUND(Y432*Source!I436,9)</f>
        <v>5.7871800000000002</v>
      </c>
      <c r="CY432">
        <f>AD432</f>
        <v>7.97</v>
      </c>
      <c r="CZ432">
        <f>AH432</f>
        <v>7.97</v>
      </c>
      <c r="DA432">
        <f>AL432</f>
        <v>1</v>
      </c>
      <c r="DB432">
        <f t="shared" si="192"/>
        <v>366.06</v>
      </c>
      <c r="DC432">
        <f t="shared" si="193"/>
        <v>0</v>
      </c>
      <c r="DD432" t="s">
        <v>3</v>
      </c>
      <c r="DE432" t="s">
        <v>3</v>
      </c>
      <c r="DF432">
        <f t="shared" ref="DF432:DF443" si="201">ROUND(ROUND(AE432,2)*CX432,2)</f>
        <v>0</v>
      </c>
      <c r="DG432">
        <f t="shared" si="198"/>
        <v>0</v>
      </c>
      <c r="DH432">
        <f t="shared" si="199"/>
        <v>0</v>
      </c>
      <c r="DI432">
        <f t="shared" si="170"/>
        <v>46.12</v>
      </c>
      <c r="DJ432">
        <f>DI432</f>
        <v>46.12</v>
      </c>
      <c r="DK432">
        <v>0</v>
      </c>
      <c r="DL432" t="s">
        <v>3</v>
      </c>
      <c r="DM432">
        <v>0</v>
      </c>
      <c r="DN432" t="s">
        <v>3</v>
      </c>
      <c r="DO432">
        <v>0</v>
      </c>
    </row>
    <row r="433" spans="1:119" x14ac:dyDescent="0.2">
      <c r="A433">
        <f>ROW(Source!A436)</f>
        <v>436</v>
      </c>
      <c r="B433">
        <v>94798619</v>
      </c>
      <c r="C433">
        <v>94802662</v>
      </c>
      <c r="D433">
        <v>121548</v>
      </c>
      <c r="E433">
        <v>1</v>
      </c>
      <c r="F433">
        <v>1</v>
      </c>
      <c r="G433">
        <v>1</v>
      </c>
      <c r="H433">
        <v>1</v>
      </c>
      <c r="I433" t="s">
        <v>28</v>
      </c>
      <c r="J433" t="s">
        <v>3</v>
      </c>
      <c r="K433" t="s">
        <v>705</v>
      </c>
      <c r="L433">
        <v>608254</v>
      </c>
      <c r="N433">
        <v>1013</v>
      </c>
      <c r="O433" t="s">
        <v>706</v>
      </c>
      <c r="P433" t="s">
        <v>706</v>
      </c>
      <c r="Q433">
        <v>1</v>
      </c>
      <c r="W433">
        <v>0</v>
      </c>
      <c r="X433">
        <v>-185737400</v>
      </c>
      <c r="Y433">
        <f t="shared" si="191"/>
        <v>10.53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1</v>
      </c>
      <c r="AJ433">
        <v>1</v>
      </c>
      <c r="AK433">
        <v>1</v>
      </c>
      <c r="AL433">
        <v>1</v>
      </c>
      <c r="AM433">
        <v>-2</v>
      </c>
      <c r="AN433">
        <v>0</v>
      </c>
      <c r="AO433">
        <v>1</v>
      </c>
      <c r="AP433">
        <v>1</v>
      </c>
      <c r="AQ433">
        <v>0</v>
      </c>
      <c r="AR433">
        <v>0</v>
      </c>
      <c r="AS433" t="s">
        <v>3</v>
      </c>
      <c r="AT433">
        <v>10.53</v>
      </c>
      <c r="AU433" t="s">
        <v>3</v>
      </c>
      <c r="AV433">
        <v>2</v>
      </c>
      <c r="AW433">
        <v>2</v>
      </c>
      <c r="AX433">
        <v>94802664</v>
      </c>
      <c r="AY433">
        <v>1</v>
      </c>
      <c r="AZ433">
        <v>0</v>
      </c>
      <c r="BA433">
        <v>433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V433">
        <v>0</v>
      </c>
      <c r="CW433">
        <v>0</v>
      </c>
      <c r="CX433">
        <f>ROUND(Y433*Source!I436,9)</f>
        <v>1.3267800000000001</v>
      </c>
      <c r="CY433">
        <f>AD433</f>
        <v>0</v>
      </c>
      <c r="CZ433">
        <f>AH433</f>
        <v>0</v>
      </c>
      <c r="DA433">
        <f>AL433</f>
        <v>1</v>
      </c>
      <c r="DB433">
        <f t="shared" si="192"/>
        <v>0</v>
      </c>
      <c r="DC433">
        <f t="shared" si="193"/>
        <v>0</v>
      </c>
      <c r="DD433" t="s">
        <v>3</v>
      </c>
      <c r="DE433" t="s">
        <v>3</v>
      </c>
      <c r="DF433">
        <f t="shared" si="201"/>
        <v>0</v>
      </c>
      <c r="DG433">
        <f t="shared" si="198"/>
        <v>0</v>
      </c>
      <c r="DH433">
        <f t="shared" si="199"/>
        <v>0</v>
      </c>
      <c r="DI433">
        <f t="shared" si="170"/>
        <v>0</v>
      </c>
      <c r="DJ433">
        <f>DI433</f>
        <v>0</v>
      </c>
      <c r="DK433">
        <v>0</v>
      </c>
      <c r="DL433" t="s">
        <v>3</v>
      </c>
      <c r="DM433">
        <v>0</v>
      </c>
      <c r="DN433" t="s">
        <v>3</v>
      </c>
      <c r="DO433">
        <v>0</v>
      </c>
    </row>
    <row r="434" spans="1:119" x14ac:dyDescent="0.2">
      <c r="A434">
        <f>ROW(Source!A436)</f>
        <v>436</v>
      </c>
      <c r="B434">
        <v>94798619</v>
      </c>
      <c r="C434">
        <v>94802662</v>
      </c>
      <c r="D434">
        <v>37802715</v>
      </c>
      <c r="E434">
        <v>1</v>
      </c>
      <c r="F434">
        <v>1</v>
      </c>
      <c r="G434">
        <v>1</v>
      </c>
      <c r="H434">
        <v>2</v>
      </c>
      <c r="I434" t="s">
        <v>1092</v>
      </c>
      <c r="J434" t="s">
        <v>1093</v>
      </c>
      <c r="K434" t="s">
        <v>1094</v>
      </c>
      <c r="L434">
        <v>1368</v>
      </c>
      <c r="N434">
        <v>1011</v>
      </c>
      <c r="O434" t="s">
        <v>700</v>
      </c>
      <c r="P434" t="s">
        <v>700</v>
      </c>
      <c r="Q434">
        <v>1</v>
      </c>
      <c r="W434">
        <v>0</v>
      </c>
      <c r="X434">
        <v>520740563</v>
      </c>
      <c r="Y434">
        <f t="shared" si="191"/>
        <v>3.09</v>
      </c>
      <c r="AA434">
        <v>0</v>
      </c>
      <c r="AB434">
        <v>1365.67</v>
      </c>
      <c r="AC434">
        <v>730.09</v>
      </c>
      <c r="AD434">
        <v>0</v>
      </c>
      <c r="AE434">
        <v>0</v>
      </c>
      <c r="AF434">
        <v>106.86</v>
      </c>
      <c r="AG434">
        <v>20.7</v>
      </c>
      <c r="AH434">
        <v>0</v>
      </c>
      <c r="AI434">
        <v>1</v>
      </c>
      <c r="AJ434">
        <v>12.78</v>
      </c>
      <c r="AK434">
        <v>35.270000000000003</v>
      </c>
      <c r="AL434">
        <v>1</v>
      </c>
      <c r="AM434">
        <v>2</v>
      </c>
      <c r="AN434">
        <v>0</v>
      </c>
      <c r="AO434">
        <v>1</v>
      </c>
      <c r="AP434">
        <v>1</v>
      </c>
      <c r="AQ434">
        <v>0</v>
      </c>
      <c r="AR434">
        <v>0</v>
      </c>
      <c r="AS434" t="s">
        <v>3</v>
      </c>
      <c r="AT434">
        <v>3.09</v>
      </c>
      <c r="AU434" t="s">
        <v>3</v>
      </c>
      <c r="AV434">
        <v>0</v>
      </c>
      <c r="AW434">
        <v>2</v>
      </c>
      <c r="AX434">
        <v>94802665</v>
      </c>
      <c r="AY434">
        <v>1</v>
      </c>
      <c r="AZ434">
        <v>0</v>
      </c>
      <c r="BA434">
        <v>434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V434">
        <v>0</v>
      </c>
      <c r="CW434">
        <f>ROUND(Y434*Source!I436*DO434,9)</f>
        <v>0</v>
      </c>
      <c r="CX434">
        <f>ROUND(Y434*Source!I436,9)</f>
        <v>0.38934000000000002</v>
      </c>
      <c r="CY434">
        <f>AB434</f>
        <v>1365.67</v>
      </c>
      <c r="CZ434">
        <f>AF434</f>
        <v>106.86</v>
      </c>
      <c r="DA434">
        <f>AJ434</f>
        <v>12.78</v>
      </c>
      <c r="DB434">
        <f t="shared" si="192"/>
        <v>330.2</v>
      </c>
      <c r="DC434">
        <f t="shared" si="193"/>
        <v>63.96</v>
      </c>
      <c r="DD434" t="s">
        <v>3</v>
      </c>
      <c r="DE434" t="s">
        <v>3</v>
      </c>
      <c r="DF434">
        <f t="shared" si="201"/>
        <v>0</v>
      </c>
      <c r="DG434">
        <f>ROUND(ROUND(AF434*AJ434,2)*CX434,2)</f>
        <v>531.71</v>
      </c>
      <c r="DH434">
        <f>ROUND(ROUND(AG434*AK434,2)*CX434,2)</f>
        <v>284.25</v>
      </c>
      <c r="DI434">
        <f t="shared" si="170"/>
        <v>0</v>
      </c>
      <c r="DJ434">
        <f>DG434</f>
        <v>531.71</v>
      </c>
      <c r="DK434">
        <v>0</v>
      </c>
      <c r="DL434" t="s">
        <v>3</v>
      </c>
      <c r="DM434">
        <v>0</v>
      </c>
      <c r="DN434" t="s">
        <v>3</v>
      </c>
      <c r="DO434">
        <v>0</v>
      </c>
    </row>
    <row r="435" spans="1:119" x14ac:dyDescent="0.2">
      <c r="A435">
        <f>ROW(Source!A436)</f>
        <v>436</v>
      </c>
      <c r="B435">
        <v>94798619</v>
      </c>
      <c r="C435">
        <v>94802662</v>
      </c>
      <c r="D435">
        <v>37802810</v>
      </c>
      <c r="E435">
        <v>1</v>
      </c>
      <c r="F435">
        <v>1</v>
      </c>
      <c r="G435">
        <v>1</v>
      </c>
      <c r="H435">
        <v>2</v>
      </c>
      <c r="I435" t="s">
        <v>992</v>
      </c>
      <c r="J435" t="s">
        <v>993</v>
      </c>
      <c r="K435" t="s">
        <v>994</v>
      </c>
      <c r="L435">
        <v>1368</v>
      </c>
      <c r="N435">
        <v>1011</v>
      </c>
      <c r="O435" t="s">
        <v>700</v>
      </c>
      <c r="P435" t="s">
        <v>700</v>
      </c>
      <c r="Q435">
        <v>1</v>
      </c>
      <c r="W435">
        <v>0</v>
      </c>
      <c r="X435">
        <v>1658901683</v>
      </c>
      <c r="Y435">
        <f t="shared" si="191"/>
        <v>0.09</v>
      </c>
      <c r="AA435">
        <v>0</v>
      </c>
      <c r="AB435">
        <v>1780.52</v>
      </c>
      <c r="AC435">
        <v>426.77</v>
      </c>
      <c r="AD435">
        <v>0</v>
      </c>
      <c r="AE435">
        <v>0</v>
      </c>
      <c r="AF435">
        <v>108.37</v>
      </c>
      <c r="AG435">
        <v>12.1</v>
      </c>
      <c r="AH435">
        <v>0</v>
      </c>
      <c r="AI435">
        <v>1</v>
      </c>
      <c r="AJ435">
        <v>16.43</v>
      </c>
      <c r="AK435">
        <v>35.270000000000003</v>
      </c>
      <c r="AL435">
        <v>1</v>
      </c>
      <c r="AM435">
        <v>2</v>
      </c>
      <c r="AN435">
        <v>0</v>
      </c>
      <c r="AO435">
        <v>1</v>
      </c>
      <c r="AP435">
        <v>1</v>
      </c>
      <c r="AQ435">
        <v>0</v>
      </c>
      <c r="AR435">
        <v>0</v>
      </c>
      <c r="AS435" t="s">
        <v>3</v>
      </c>
      <c r="AT435">
        <v>0.09</v>
      </c>
      <c r="AU435" t="s">
        <v>3</v>
      </c>
      <c r="AV435">
        <v>0</v>
      </c>
      <c r="AW435">
        <v>2</v>
      </c>
      <c r="AX435">
        <v>94802666</v>
      </c>
      <c r="AY435">
        <v>1</v>
      </c>
      <c r="AZ435">
        <v>0</v>
      </c>
      <c r="BA435">
        <v>435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V435">
        <v>0</v>
      </c>
      <c r="CW435">
        <f>ROUND(Y435*Source!I436*DO435,9)</f>
        <v>0</v>
      </c>
      <c r="CX435">
        <f>ROUND(Y435*Source!I436,9)</f>
        <v>1.1339999999999999E-2</v>
      </c>
      <c r="CY435">
        <f>AB435</f>
        <v>1780.52</v>
      </c>
      <c r="CZ435">
        <f>AF435</f>
        <v>108.37</v>
      </c>
      <c r="DA435">
        <f>AJ435</f>
        <v>16.43</v>
      </c>
      <c r="DB435">
        <f t="shared" si="192"/>
        <v>9.75</v>
      </c>
      <c r="DC435">
        <f t="shared" si="193"/>
        <v>1.0900000000000001</v>
      </c>
      <c r="DD435" t="s">
        <v>3</v>
      </c>
      <c r="DE435" t="s">
        <v>3</v>
      </c>
      <c r="DF435">
        <f t="shared" si="201"/>
        <v>0</v>
      </c>
      <c r="DG435">
        <f>ROUND(ROUND(AF435*AJ435,2)*CX435,2)</f>
        <v>20.190000000000001</v>
      </c>
      <c r="DH435">
        <f>ROUND(ROUND(AG435*AK435,2)*CX435,2)</f>
        <v>4.84</v>
      </c>
      <c r="DI435">
        <f t="shared" si="170"/>
        <v>0</v>
      </c>
      <c r="DJ435">
        <f>DG435</f>
        <v>20.190000000000001</v>
      </c>
      <c r="DK435">
        <v>0</v>
      </c>
      <c r="DL435" t="s">
        <v>3</v>
      </c>
      <c r="DM435">
        <v>0</v>
      </c>
      <c r="DN435" t="s">
        <v>3</v>
      </c>
      <c r="DO435">
        <v>0</v>
      </c>
    </row>
    <row r="436" spans="1:119" x14ac:dyDescent="0.2">
      <c r="A436">
        <f>ROW(Source!A436)</f>
        <v>436</v>
      </c>
      <c r="B436">
        <v>94798619</v>
      </c>
      <c r="C436">
        <v>94802662</v>
      </c>
      <c r="D436">
        <v>37803022</v>
      </c>
      <c r="E436">
        <v>1</v>
      </c>
      <c r="F436">
        <v>1</v>
      </c>
      <c r="G436">
        <v>1</v>
      </c>
      <c r="H436">
        <v>2</v>
      </c>
      <c r="I436" t="s">
        <v>874</v>
      </c>
      <c r="J436" t="s">
        <v>875</v>
      </c>
      <c r="K436" t="s">
        <v>876</v>
      </c>
      <c r="L436">
        <v>1368</v>
      </c>
      <c r="N436">
        <v>1011</v>
      </c>
      <c r="O436" t="s">
        <v>700</v>
      </c>
      <c r="P436" t="s">
        <v>700</v>
      </c>
      <c r="Q436">
        <v>1</v>
      </c>
      <c r="W436">
        <v>0</v>
      </c>
      <c r="X436">
        <v>-769434373</v>
      </c>
      <c r="Y436">
        <f t="shared" si="191"/>
        <v>0.36</v>
      </c>
      <c r="AA436">
        <v>0</v>
      </c>
      <c r="AB436">
        <v>2357.37</v>
      </c>
      <c r="AC436">
        <v>426.77</v>
      </c>
      <c r="AD436">
        <v>0</v>
      </c>
      <c r="AE436">
        <v>0</v>
      </c>
      <c r="AF436">
        <v>155.09</v>
      </c>
      <c r="AG436">
        <v>12.1</v>
      </c>
      <c r="AH436">
        <v>0</v>
      </c>
      <c r="AI436">
        <v>1</v>
      </c>
      <c r="AJ436">
        <v>15.2</v>
      </c>
      <c r="AK436">
        <v>35.270000000000003</v>
      </c>
      <c r="AL436">
        <v>1</v>
      </c>
      <c r="AM436">
        <v>2</v>
      </c>
      <c r="AN436">
        <v>0</v>
      </c>
      <c r="AO436">
        <v>1</v>
      </c>
      <c r="AP436">
        <v>1</v>
      </c>
      <c r="AQ436">
        <v>0</v>
      </c>
      <c r="AR436">
        <v>0</v>
      </c>
      <c r="AS436" t="s">
        <v>3</v>
      </c>
      <c r="AT436">
        <v>0.36</v>
      </c>
      <c r="AU436" t="s">
        <v>3</v>
      </c>
      <c r="AV436">
        <v>0</v>
      </c>
      <c r="AW436">
        <v>2</v>
      </c>
      <c r="AX436">
        <v>94802667</v>
      </c>
      <c r="AY436">
        <v>1</v>
      </c>
      <c r="AZ436">
        <v>0</v>
      </c>
      <c r="BA436">
        <v>436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V436">
        <v>0</v>
      </c>
      <c r="CW436">
        <f>ROUND(Y436*Source!I436*DO436,9)</f>
        <v>0</v>
      </c>
      <c r="CX436">
        <f>ROUND(Y436*Source!I436,9)</f>
        <v>4.5359999999999998E-2</v>
      </c>
      <c r="CY436">
        <f>AB436</f>
        <v>2357.37</v>
      </c>
      <c r="CZ436">
        <f>AF436</f>
        <v>155.09</v>
      </c>
      <c r="DA436">
        <f>AJ436</f>
        <v>15.2</v>
      </c>
      <c r="DB436">
        <f t="shared" si="192"/>
        <v>55.83</v>
      </c>
      <c r="DC436">
        <f t="shared" si="193"/>
        <v>4.3600000000000003</v>
      </c>
      <c r="DD436" t="s">
        <v>3</v>
      </c>
      <c r="DE436" t="s">
        <v>3</v>
      </c>
      <c r="DF436">
        <f t="shared" si="201"/>
        <v>0</v>
      </c>
      <c r="DG436">
        <f>ROUND(ROUND(AF436*AJ436,2)*CX436,2)</f>
        <v>106.93</v>
      </c>
      <c r="DH436">
        <f>ROUND(ROUND(AG436*AK436,2)*CX436,2)</f>
        <v>19.36</v>
      </c>
      <c r="DI436">
        <f t="shared" si="170"/>
        <v>0</v>
      </c>
      <c r="DJ436">
        <f>DG436</f>
        <v>106.93</v>
      </c>
      <c r="DK436">
        <v>0</v>
      </c>
      <c r="DL436" t="s">
        <v>3</v>
      </c>
      <c r="DM436">
        <v>0</v>
      </c>
      <c r="DN436" t="s">
        <v>3</v>
      </c>
      <c r="DO436">
        <v>0</v>
      </c>
    </row>
    <row r="437" spans="1:119" x14ac:dyDescent="0.2">
      <c r="A437">
        <f>ROW(Source!A436)</f>
        <v>436</v>
      </c>
      <c r="B437">
        <v>94798619</v>
      </c>
      <c r="C437">
        <v>94802662</v>
      </c>
      <c r="D437">
        <v>37803039</v>
      </c>
      <c r="E437">
        <v>1</v>
      </c>
      <c r="F437">
        <v>1</v>
      </c>
      <c r="G437">
        <v>1</v>
      </c>
      <c r="H437">
        <v>2</v>
      </c>
      <c r="I437" t="s">
        <v>1095</v>
      </c>
      <c r="J437" t="s">
        <v>1096</v>
      </c>
      <c r="K437" t="s">
        <v>1097</v>
      </c>
      <c r="L437">
        <v>1368</v>
      </c>
      <c r="N437">
        <v>1011</v>
      </c>
      <c r="O437" t="s">
        <v>700</v>
      </c>
      <c r="P437" t="s">
        <v>700</v>
      </c>
      <c r="Q437">
        <v>1</v>
      </c>
      <c r="W437">
        <v>0</v>
      </c>
      <c r="X437">
        <v>-707671975</v>
      </c>
      <c r="Y437">
        <f t="shared" si="191"/>
        <v>3.9</v>
      </c>
      <c r="AA437">
        <v>0</v>
      </c>
      <c r="AB437">
        <v>2558.4699999999998</v>
      </c>
      <c r="AC437">
        <v>454.98</v>
      </c>
      <c r="AD437">
        <v>0</v>
      </c>
      <c r="AE437">
        <v>0</v>
      </c>
      <c r="AF437">
        <v>244.83</v>
      </c>
      <c r="AG437">
        <v>12.9</v>
      </c>
      <c r="AH437">
        <v>0</v>
      </c>
      <c r="AI437">
        <v>1</v>
      </c>
      <c r="AJ437">
        <v>10.45</v>
      </c>
      <c r="AK437">
        <v>35.270000000000003</v>
      </c>
      <c r="AL437">
        <v>1</v>
      </c>
      <c r="AM437">
        <v>2</v>
      </c>
      <c r="AN437">
        <v>0</v>
      </c>
      <c r="AO437">
        <v>1</v>
      </c>
      <c r="AP437">
        <v>1</v>
      </c>
      <c r="AQ437">
        <v>0</v>
      </c>
      <c r="AR437">
        <v>0</v>
      </c>
      <c r="AS437" t="s">
        <v>3</v>
      </c>
      <c r="AT437">
        <v>3.9</v>
      </c>
      <c r="AU437" t="s">
        <v>3</v>
      </c>
      <c r="AV437">
        <v>0</v>
      </c>
      <c r="AW437">
        <v>2</v>
      </c>
      <c r="AX437">
        <v>94802668</v>
      </c>
      <c r="AY437">
        <v>1</v>
      </c>
      <c r="AZ437">
        <v>0</v>
      </c>
      <c r="BA437">
        <v>437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V437">
        <v>0</v>
      </c>
      <c r="CW437">
        <f>ROUND(Y437*Source!I436*DO437,9)</f>
        <v>0</v>
      </c>
      <c r="CX437">
        <f>ROUND(Y437*Source!I436,9)</f>
        <v>0.4914</v>
      </c>
      <c r="CY437">
        <f>AB437</f>
        <v>2558.4699999999998</v>
      </c>
      <c r="CZ437">
        <f>AF437</f>
        <v>244.83</v>
      </c>
      <c r="DA437">
        <f>AJ437</f>
        <v>10.45</v>
      </c>
      <c r="DB437">
        <f t="shared" si="192"/>
        <v>954.84</v>
      </c>
      <c r="DC437">
        <f t="shared" si="193"/>
        <v>50.31</v>
      </c>
      <c r="DD437" t="s">
        <v>3</v>
      </c>
      <c r="DE437" t="s">
        <v>3</v>
      </c>
      <c r="DF437">
        <f t="shared" si="201"/>
        <v>0</v>
      </c>
      <c r="DG437">
        <f>ROUND(ROUND(AF437*AJ437,2)*CX437,2)</f>
        <v>1257.23</v>
      </c>
      <c r="DH437">
        <f>ROUND(ROUND(AG437*AK437,2)*CX437,2)</f>
        <v>223.58</v>
      </c>
      <c r="DI437">
        <f t="shared" si="170"/>
        <v>0</v>
      </c>
      <c r="DJ437">
        <f>DG437</f>
        <v>1257.23</v>
      </c>
      <c r="DK437">
        <v>0</v>
      </c>
      <c r="DL437" t="s">
        <v>3</v>
      </c>
      <c r="DM437">
        <v>0</v>
      </c>
      <c r="DN437" t="s">
        <v>3</v>
      </c>
      <c r="DO437">
        <v>0</v>
      </c>
    </row>
    <row r="438" spans="1:119" x14ac:dyDescent="0.2">
      <c r="A438">
        <f>ROW(Source!A480)</f>
        <v>480</v>
      </c>
      <c r="B438">
        <v>94798619</v>
      </c>
      <c r="C438">
        <v>94802727</v>
      </c>
      <c r="D438">
        <v>23129555</v>
      </c>
      <c r="E438">
        <v>1</v>
      </c>
      <c r="F438">
        <v>1</v>
      </c>
      <c r="G438">
        <v>1</v>
      </c>
      <c r="H438">
        <v>1</v>
      </c>
      <c r="I438" t="s">
        <v>701</v>
      </c>
      <c r="J438" t="s">
        <v>3</v>
      </c>
      <c r="K438" t="s">
        <v>702</v>
      </c>
      <c r="L438">
        <v>1369</v>
      </c>
      <c r="N438">
        <v>1013</v>
      </c>
      <c r="O438" t="s">
        <v>696</v>
      </c>
      <c r="P438" t="s">
        <v>696</v>
      </c>
      <c r="Q438">
        <v>1</v>
      </c>
      <c r="W438">
        <v>0</v>
      </c>
      <c r="X438">
        <v>1250814213</v>
      </c>
      <c r="Y438">
        <f t="shared" si="191"/>
        <v>12.86</v>
      </c>
      <c r="AA438">
        <v>0</v>
      </c>
      <c r="AB438">
        <v>0</v>
      </c>
      <c r="AC438">
        <v>0</v>
      </c>
      <c r="AD438">
        <v>7.29</v>
      </c>
      <c r="AE438">
        <v>0</v>
      </c>
      <c r="AF438">
        <v>0</v>
      </c>
      <c r="AG438">
        <v>0</v>
      </c>
      <c r="AH438">
        <v>7.29</v>
      </c>
      <c r="AI438">
        <v>1</v>
      </c>
      <c r="AJ438">
        <v>1</v>
      </c>
      <c r="AK438">
        <v>1</v>
      </c>
      <c r="AL438">
        <v>1</v>
      </c>
      <c r="AM438">
        <v>-2</v>
      </c>
      <c r="AN438">
        <v>0</v>
      </c>
      <c r="AO438">
        <v>1</v>
      </c>
      <c r="AP438">
        <v>1</v>
      </c>
      <c r="AQ438">
        <v>0</v>
      </c>
      <c r="AR438">
        <v>0</v>
      </c>
      <c r="AS438" t="s">
        <v>3</v>
      </c>
      <c r="AT438">
        <v>12.86</v>
      </c>
      <c r="AU438" t="s">
        <v>3</v>
      </c>
      <c r="AV438">
        <v>1</v>
      </c>
      <c r="AW438">
        <v>2</v>
      </c>
      <c r="AX438">
        <v>94802728</v>
      </c>
      <c r="AY438">
        <v>1</v>
      </c>
      <c r="AZ438">
        <v>0</v>
      </c>
      <c r="BA438">
        <v>438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U438">
        <f>ROUND(AT438*Source!I480*AH438*AL438,2)</f>
        <v>0.32</v>
      </c>
      <c r="CV438">
        <f>ROUND(Y438*Source!I480,9)</f>
        <v>4.3723999999999999E-2</v>
      </c>
      <c r="CW438">
        <v>0</v>
      </c>
      <c r="CX438">
        <f>ROUND(Y438*Source!I480,9)</f>
        <v>4.3723999999999999E-2</v>
      </c>
      <c r="CY438">
        <f>AD438</f>
        <v>7.29</v>
      </c>
      <c r="CZ438">
        <f>AH438</f>
        <v>7.29</v>
      </c>
      <c r="DA438">
        <f>AL438</f>
        <v>1</v>
      </c>
      <c r="DB438">
        <f t="shared" si="192"/>
        <v>93.75</v>
      </c>
      <c r="DC438">
        <f t="shared" si="193"/>
        <v>0</v>
      </c>
      <c r="DD438" t="s">
        <v>3</v>
      </c>
      <c r="DE438" t="s">
        <v>3</v>
      </c>
      <c r="DF438">
        <f t="shared" si="201"/>
        <v>0</v>
      </c>
      <c r="DG438">
        <f>ROUND(ROUND(AF438,2)*CX438,2)</f>
        <v>0</v>
      </c>
      <c r="DH438">
        <f>ROUND(ROUND(AG438,2)*CX438,2)</f>
        <v>0</v>
      </c>
      <c r="DI438">
        <f t="shared" si="170"/>
        <v>0.32</v>
      </c>
      <c r="DJ438">
        <f>DI438</f>
        <v>0.32</v>
      </c>
      <c r="DK438">
        <v>0</v>
      </c>
      <c r="DL438" t="s">
        <v>3</v>
      </c>
      <c r="DM438">
        <v>0</v>
      </c>
      <c r="DN438" t="s">
        <v>3</v>
      </c>
      <c r="DO438">
        <v>0</v>
      </c>
    </row>
    <row r="439" spans="1:119" x14ac:dyDescent="0.2">
      <c r="A439">
        <f>ROW(Source!A480)</f>
        <v>480</v>
      </c>
      <c r="B439">
        <v>94798619</v>
      </c>
      <c r="C439">
        <v>94802727</v>
      </c>
      <c r="D439">
        <v>121548</v>
      </c>
      <c r="E439">
        <v>1</v>
      </c>
      <c r="F439">
        <v>1</v>
      </c>
      <c r="G439">
        <v>1</v>
      </c>
      <c r="H439">
        <v>1</v>
      </c>
      <c r="I439" t="s">
        <v>28</v>
      </c>
      <c r="J439" t="s">
        <v>3</v>
      </c>
      <c r="K439" t="s">
        <v>705</v>
      </c>
      <c r="L439">
        <v>608254</v>
      </c>
      <c r="N439">
        <v>1013</v>
      </c>
      <c r="O439" t="s">
        <v>706</v>
      </c>
      <c r="P439" t="s">
        <v>706</v>
      </c>
      <c r="Q439">
        <v>1</v>
      </c>
      <c r="W439">
        <v>0</v>
      </c>
      <c r="X439">
        <v>-185737400</v>
      </c>
      <c r="Y439">
        <f t="shared" si="191"/>
        <v>58.76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M439">
        <v>-2</v>
      </c>
      <c r="AN439">
        <v>0</v>
      </c>
      <c r="AO439">
        <v>1</v>
      </c>
      <c r="AP439">
        <v>1</v>
      </c>
      <c r="AQ439">
        <v>0</v>
      </c>
      <c r="AR439">
        <v>0</v>
      </c>
      <c r="AS439" t="s">
        <v>3</v>
      </c>
      <c r="AT439">
        <v>58.76</v>
      </c>
      <c r="AU439" t="s">
        <v>3</v>
      </c>
      <c r="AV439">
        <v>2</v>
      </c>
      <c r="AW439">
        <v>2</v>
      </c>
      <c r="AX439">
        <v>94802729</v>
      </c>
      <c r="AY439">
        <v>1</v>
      </c>
      <c r="AZ439">
        <v>0</v>
      </c>
      <c r="BA439">
        <v>439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V439">
        <v>0</v>
      </c>
      <c r="CW439">
        <v>0</v>
      </c>
      <c r="CX439">
        <f>ROUND(Y439*Source!I480,9)</f>
        <v>0.19978399999999999</v>
      </c>
      <c r="CY439">
        <f>AD439</f>
        <v>0</v>
      </c>
      <c r="CZ439">
        <f>AH439</f>
        <v>0</v>
      </c>
      <c r="DA439">
        <f>AL439</f>
        <v>1</v>
      </c>
      <c r="DB439">
        <f t="shared" si="192"/>
        <v>0</v>
      </c>
      <c r="DC439">
        <f t="shared" si="193"/>
        <v>0</v>
      </c>
      <c r="DD439" t="s">
        <v>3</v>
      </c>
      <c r="DE439" t="s">
        <v>3</v>
      </c>
      <c r="DF439">
        <f t="shared" si="201"/>
        <v>0</v>
      </c>
      <c r="DG439">
        <f>ROUND(ROUND(AF439,2)*CX439,2)</f>
        <v>0</v>
      </c>
      <c r="DH439">
        <f>ROUND(ROUND(AG439,2)*CX439,2)</f>
        <v>0</v>
      </c>
      <c r="DI439">
        <f t="shared" si="170"/>
        <v>0</v>
      </c>
      <c r="DJ439">
        <f>DI439</f>
        <v>0</v>
      </c>
      <c r="DK439">
        <v>0</v>
      </c>
      <c r="DL439" t="s">
        <v>3</v>
      </c>
      <c r="DM439">
        <v>0</v>
      </c>
      <c r="DN439" t="s">
        <v>3</v>
      </c>
      <c r="DO439">
        <v>0</v>
      </c>
    </row>
    <row r="440" spans="1:119" x14ac:dyDescent="0.2">
      <c r="A440">
        <f>ROW(Source!A480)</f>
        <v>480</v>
      </c>
      <c r="B440">
        <v>94798619</v>
      </c>
      <c r="C440">
        <v>94802727</v>
      </c>
      <c r="D440">
        <v>37802763</v>
      </c>
      <c r="E440">
        <v>1</v>
      </c>
      <c r="F440">
        <v>1</v>
      </c>
      <c r="G440">
        <v>1</v>
      </c>
      <c r="H440">
        <v>2</v>
      </c>
      <c r="I440" t="s">
        <v>984</v>
      </c>
      <c r="J440" t="s">
        <v>985</v>
      </c>
      <c r="K440" t="s">
        <v>986</v>
      </c>
      <c r="L440">
        <v>1368</v>
      </c>
      <c r="N440">
        <v>1011</v>
      </c>
      <c r="O440" t="s">
        <v>700</v>
      </c>
      <c r="P440" t="s">
        <v>700</v>
      </c>
      <c r="Q440">
        <v>1</v>
      </c>
      <c r="W440">
        <v>0</v>
      </c>
      <c r="X440">
        <v>-242827276</v>
      </c>
      <c r="Y440">
        <f t="shared" si="191"/>
        <v>58.76</v>
      </c>
      <c r="AA440">
        <v>0</v>
      </c>
      <c r="AB440">
        <v>1396.38</v>
      </c>
      <c r="AC440">
        <v>365.04</v>
      </c>
      <c r="AD440">
        <v>0</v>
      </c>
      <c r="AE440">
        <v>0</v>
      </c>
      <c r="AF440">
        <v>74</v>
      </c>
      <c r="AG440">
        <v>10.35</v>
      </c>
      <c r="AH440">
        <v>0</v>
      </c>
      <c r="AI440">
        <v>1</v>
      </c>
      <c r="AJ440">
        <v>18.87</v>
      </c>
      <c r="AK440">
        <v>35.270000000000003</v>
      </c>
      <c r="AL440">
        <v>1</v>
      </c>
      <c r="AM440">
        <v>2</v>
      </c>
      <c r="AN440">
        <v>0</v>
      </c>
      <c r="AO440">
        <v>1</v>
      </c>
      <c r="AP440">
        <v>1</v>
      </c>
      <c r="AQ440">
        <v>0</v>
      </c>
      <c r="AR440">
        <v>0</v>
      </c>
      <c r="AS440" t="s">
        <v>3</v>
      </c>
      <c r="AT440">
        <v>58.76</v>
      </c>
      <c r="AU440" t="s">
        <v>3</v>
      </c>
      <c r="AV440">
        <v>0</v>
      </c>
      <c r="AW440">
        <v>2</v>
      </c>
      <c r="AX440">
        <v>94802730</v>
      </c>
      <c r="AY440">
        <v>1</v>
      </c>
      <c r="AZ440">
        <v>0</v>
      </c>
      <c r="BA440">
        <v>440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V440">
        <v>0</v>
      </c>
      <c r="CW440">
        <f>ROUND(Y440*Source!I480*DO440,9)</f>
        <v>0</v>
      </c>
      <c r="CX440">
        <f>ROUND(Y440*Source!I480,9)</f>
        <v>0.19978399999999999</v>
      </c>
      <c r="CY440">
        <f>AB440</f>
        <v>1396.38</v>
      </c>
      <c r="CZ440">
        <f>AF440</f>
        <v>74</v>
      </c>
      <c r="DA440">
        <f>AJ440</f>
        <v>18.87</v>
      </c>
      <c r="DB440">
        <f t="shared" si="192"/>
        <v>4348.24</v>
      </c>
      <c r="DC440">
        <f t="shared" si="193"/>
        <v>608.16999999999996</v>
      </c>
      <c r="DD440" t="s">
        <v>3</v>
      </c>
      <c r="DE440" t="s">
        <v>3</v>
      </c>
      <c r="DF440">
        <f t="shared" si="201"/>
        <v>0</v>
      </c>
      <c r="DG440">
        <f>ROUND(ROUND(AF440*AJ440,2)*CX440,2)</f>
        <v>278.97000000000003</v>
      </c>
      <c r="DH440">
        <f>ROUND(ROUND(AG440*AK440,2)*CX440,2)</f>
        <v>72.930000000000007</v>
      </c>
      <c r="DI440">
        <f t="shared" si="170"/>
        <v>0</v>
      </c>
      <c r="DJ440">
        <f>DG440</f>
        <v>278.97000000000003</v>
      </c>
      <c r="DK440">
        <v>0</v>
      </c>
      <c r="DL440" t="s">
        <v>3</v>
      </c>
      <c r="DM440">
        <v>0</v>
      </c>
      <c r="DN440" t="s">
        <v>3</v>
      </c>
      <c r="DO440">
        <v>0</v>
      </c>
    </row>
    <row r="441" spans="1:119" x14ac:dyDescent="0.2">
      <c r="A441">
        <f>ROW(Source!A481)</f>
        <v>481</v>
      </c>
      <c r="B441">
        <v>94798619</v>
      </c>
      <c r="C441">
        <v>94802731</v>
      </c>
      <c r="D441">
        <v>23131263</v>
      </c>
      <c r="E441">
        <v>1</v>
      </c>
      <c r="F441">
        <v>1</v>
      </c>
      <c r="G441">
        <v>1</v>
      </c>
      <c r="H441">
        <v>1</v>
      </c>
      <c r="I441" t="s">
        <v>990</v>
      </c>
      <c r="J441" t="s">
        <v>3</v>
      </c>
      <c r="K441" t="s">
        <v>991</v>
      </c>
      <c r="L441">
        <v>1369</v>
      </c>
      <c r="N441">
        <v>1013</v>
      </c>
      <c r="O441" t="s">
        <v>696</v>
      </c>
      <c r="P441" t="s">
        <v>696</v>
      </c>
      <c r="Q441">
        <v>1</v>
      </c>
      <c r="W441">
        <v>0</v>
      </c>
      <c r="X441">
        <v>920778480</v>
      </c>
      <c r="Y441">
        <f t="shared" si="191"/>
        <v>10.199999999999999</v>
      </c>
      <c r="AA441">
        <v>0</v>
      </c>
      <c r="AB441">
        <v>0</v>
      </c>
      <c r="AC441">
        <v>0</v>
      </c>
      <c r="AD441">
        <v>7.63</v>
      </c>
      <c r="AE441">
        <v>0</v>
      </c>
      <c r="AF441">
        <v>0</v>
      </c>
      <c r="AG441">
        <v>0</v>
      </c>
      <c r="AH441">
        <v>7.63</v>
      </c>
      <c r="AI441">
        <v>1</v>
      </c>
      <c r="AJ441">
        <v>1</v>
      </c>
      <c r="AK441">
        <v>1</v>
      </c>
      <c r="AL441">
        <v>1</v>
      </c>
      <c r="AM441">
        <v>-2</v>
      </c>
      <c r="AN441">
        <v>0</v>
      </c>
      <c r="AO441">
        <v>1</v>
      </c>
      <c r="AP441">
        <v>1</v>
      </c>
      <c r="AQ441">
        <v>0</v>
      </c>
      <c r="AR441">
        <v>0</v>
      </c>
      <c r="AS441" t="s">
        <v>3</v>
      </c>
      <c r="AT441">
        <v>10.199999999999999</v>
      </c>
      <c r="AU441" t="s">
        <v>3</v>
      </c>
      <c r="AV441">
        <v>1</v>
      </c>
      <c r="AW441">
        <v>2</v>
      </c>
      <c r="AX441">
        <v>94802732</v>
      </c>
      <c r="AY441">
        <v>1</v>
      </c>
      <c r="AZ441">
        <v>0</v>
      </c>
      <c r="BA441">
        <v>441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U441">
        <f>ROUND(AT441*Source!I481*AH441*AL441,2)</f>
        <v>2.65</v>
      </c>
      <c r="CV441">
        <f>ROUND(Y441*Source!I481,9)</f>
        <v>0.3468</v>
      </c>
      <c r="CW441">
        <v>0</v>
      </c>
      <c r="CX441">
        <f>ROUND(Y441*Source!I481,9)</f>
        <v>0.3468</v>
      </c>
      <c r="CY441">
        <f>AD441</f>
        <v>7.63</v>
      </c>
      <c r="CZ441">
        <f>AH441</f>
        <v>7.63</v>
      </c>
      <c r="DA441">
        <f>AL441</f>
        <v>1</v>
      </c>
      <c r="DB441">
        <f t="shared" si="192"/>
        <v>77.83</v>
      </c>
      <c r="DC441">
        <f t="shared" si="193"/>
        <v>0</v>
      </c>
      <c r="DD441" t="s">
        <v>3</v>
      </c>
      <c r="DE441" t="s">
        <v>3</v>
      </c>
      <c r="DF441">
        <f t="shared" si="201"/>
        <v>0</v>
      </c>
      <c r="DG441">
        <f>ROUND(ROUND(AF441,2)*CX441,2)</f>
        <v>0</v>
      </c>
      <c r="DH441">
        <f>ROUND(ROUND(AG441,2)*CX441,2)</f>
        <v>0</v>
      </c>
      <c r="DI441">
        <f t="shared" si="170"/>
        <v>2.65</v>
      </c>
      <c r="DJ441">
        <f>DI441</f>
        <v>2.65</v>
      </c>
      <c r="DK441">
        <v>0</v>
      </c>
      <c r="DL441" t="s">
        <v>3</v>
      </c>
      <c r="DM441">
        <v>0</v>
      </c>
      <c r="DN441" t="s">
        <v>3</v>
      </c>
      <c r="DO441">
        <v>0</v>
      </c>
    </row>
    <row r="442" spans="1:119" x14ac:dyDescent="0.2">
      <c r="A442">
        <f>ROW(Source!A481)</f>
        <v>481</v>
      </c>
      <c r="B442">
        <v>94798619</v>
      </c>
      <c r="C442">
        <v>94802731</v>
      </c>
      <c r="D442">
        <v>121548</v>
      </c>
      <c r="E442">
        <v>1</v>
      </c>
      <c r="F442">
        <v>1</v>
      </c>
      <c r="G442">
        <v>1</v>
      </c>
      <c r="H442">
        <v>1</v>
      </c>
      <c r="I442" t="s">
        <v>28</v>
      </c>
      <c r="J442" t="s">
        <v>3</v>
      </c>
      <c r="K442" t="s">
        <v>705</v>
      </c>
      <c r="L442">
        <v>608254</v>
      </c>
      <c r="N442">
        <v>1013</v>
      </c>
      <c r="O442" t="s">
        <v>706</v>
      </c>
      <c r="P442" t="s">
        <v>706</v>
      </c>
      <c r="Q442">
        <v>1</v>
      </c>
      <c r="W442">
        <v>0</v>
      </c>
      <c r="X442">
        <v>-185737400</v>
      </c>
      <c r="Y442">
        <f t="shared" si="191"/>
        <v>0.35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1</v>
      </c>
      <c r="AJ442">
        <v>1</v>
      </c>
      <c r="AK442">
        <v>1</v>
      </c>
      <c r="AL442">
        <v>1</v>
      </c>
      <c r="AM442">
        <v>-2</v>
      </c>
      <c r="AN442">
        <v>0</v>
      </c>
      <c r="AO442">
        <v>1</v>
      </c>
      <c r="AP442">
        <v>1</v>
      </c>
      <c r="AQ442">
        <v>0</v>
      </c>
      <c r="AR442">
        <v>0</v>
      </c>
      <c r="AS442" t="s">
        <v>3</v>
      </c>
      <c r="AT442">
        <v>0.35</v>
      </c>
      <c r="AU442" t="s">
        <v>3</v>
      </c>
      <c r="AV442">
        <v>2</v>
      </c>
      <c r="AW442">
        <v>2</v>
      </c>
      <c r="AX442">
        <v>94802733</v>
      </c>
      <c r="AY442">
        <v>1</v>
      </c>
      <c r="AZ442">
        <v>0</v>
      </c>
      <c r="BA442">
        <v>442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V442">
        <v>0</v>
      </c>
      <c r="CW442">
        <v>0</v>
      </c>
      <c r="CX442">
        <f>ROUND(Y442*Source!I481,9)</f>
        <v>1.1900000000000001E-2</v>
      </c>
      <c r="CY442">
        <f>AD442</f>
        <v>0</v>
      </c>
      <c r="CZ442">
        <f>AH442</f>
        <v>0</v>
      </c>
      <c r="DA442">
        <f>AL442</f>
        <v>1</v>
      </c>
      <c r="DB442">
        <f t="shared" si="192"/>
        <v>0</v>
      </c>
      <c r="DC442">
        <f t="shared" si="193"/>
        <v>0</v>
      </c>
      <c r="DD442" t="s">
        <v>3</v>
      </c>
      <c r="DE442" t="s">
        <v>3</v>
      </c>
      <c r="DF442">
        <f t="shared" si="201"/>
        <v>0</v>
      </c>
      <c r="DG442">
        <f>ROUND(ROUND(AF442,2)*CX442,2)</f>
        <v>0</v>
      </c>
      <c r="DH442">
        <f>ROUND(ROUND(AG442,2)*CX442,2)</f>
        <v>0</v>
      </c>
      <c r="DI442">
        <f t="shared" si="170"/>
        <v>0</v>
      </c>
      <c r="DJ442">
        <f>DI442</f>
        <v>0</v>
      </c>
      <c r="DK442">
        <v>0</v>
      </c>
      <c r="DL442" t="s">
        <v>3</v>
      </c>
      <c r="DM442">
        <v>0</v>
      </c>
      <c r="DN442" t="s">
        <v>3</v>
      </c>
      <c r="DO442">
        <v>0</v>
      </c>
    </row>
    <row r="443" spans="1:119" x14ac:dyDescent="0.2">
      <c r="A443">
        <f>ROW(Source!A481)</f>
        <v>481</v>
      </c>
      <c r="B443">
        <v>94798619</v>
      </c>
      <c r="C443">
        <v>94802731</v>
      </c>
      <c r="D443">
        <v>37802515</v>
      </c>
      <c r="E443">
        <v>1</v>
      </c>
      <c r="F443">
        <v>1</v>
      </c>
      <c r="G443">
        <v>1</v>
      </c>
      <c r="H443">
        <v>2</v>
      </c>
      <c r="I443" t="s">
        <v>774</v>
      </c>
      <c r="J443" t="s">
        <v>775</v>
      </c>
      <c r="K443" t="s">
        <v>776</v>
      </c>
      <c r="L443">
        <v>1368</v>
      </c>
      <c r="N443">
        <v>1011</v>
      </c>
      <c r="O443" t="s">
        <v>700</v>
      </c>
      <c r="P443" t="s">
        <v>700</v>
      </c>
      <c r="Q443">
        <v>1</v>
      </c>
      <c r="W443">
        <v>0</v>
      </c>
      <c r="X443">
        <v>-674318163</v>
      </c>
      <c r="Y443">
        <f t="shared" si="191"/>
        <v>0.35</v>
      </c>
      <c r="AA443">
        <v>0</v>
      </c>
      <c r="AB443">
        <v>2230.73</v>
      </c>
      <c r="AC443">
        <v>317.43</v>
      </c>
      <c r="AD443">
        <v>0</v>
      </c>
      <c r="AE443">
        <v>0</v>
      </c>
      <c r="AF443">
        <v>87.24</v>
      </c>
      <c r="AG443">
        <v>9</v>
      </c>
      <c r="AH443">
        <v>0</v>
      </c>
      <c r="AI443">
        <v>1</v>
      </c>
      <c r="AJ443">
        <v>25.57</v>
      </c>
      <c r="AK443">
        <v>35.270000000000003</v>
      </c>
      <c r="AL443">
        <v>1</v>
      </c>
      <c r="AM443">
        <v>2</v>
      </c>
      <c r="AN443">
        <v>0</v>
      </c>
      <c r="AO443">
        <v>1</v>
      </c>
      <c r="AP443">
        <v>1</v>
      </c>
      <c r="AQ443">
        <v>0</v>
      </c>
      <c r="AR443">
        <v>0</v>
      </c>
      <c r="AS443" t="s">
        <v>3</v>
      </c>
      <c r="AT443">
        <v>0.35</v>
      </c>
      <c r="AU443" t="s">
        <v>3</v>
      </c>
      <c r="AV443">
        <v>0</v>
      </c>
      <c r="AW443">
        <v>2</v>
      </c>
      <c r="AX443">
        <v>94802734</v>
      </c>
      <c r="AY443">
        <v>1</v>
      </c>
      <c r="AZ443">
        <v>0</v>
      </c>
      <c r="BA443">
        <v>443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V443">
        <v>0</v>
      </c>
      <c r="CW443">
        <f>ROUND(Y443*Source!I481*DO443,9)</f>
        <v>0</v>
      </c>
      <c r="CX443">
        <f>ROUND(Y443*Source!I481,9)</f>
        <v>1.1900000000000001E-2</v>
      </c>
      <c r="CY443">
        <f>AB443</f>
        <v>2230.73</v>
      </c>
      <c r="CZ443">
        <f>AF443</f>
        <v>87.24</v>
      </c>
      <c r="DA443">
        <f>AJ443</f>
        <v>25.57</v>
      </c>
      <c r="DB443">
        <f t="shared" si="192"/>
        <v>30.53</v>
      </c>
      <c r="DC443">
        <f t="shared" si="193"/>
        <v>3.15</v>
      </c>
      <c r="DD443" t="s">
        <v>3</v>
      </c>
      <c r="DE443" t="s">
        <v>3</v>
      </c>
      <c r="DF443">
        <f t="shared" si="201"/>
        <v>0</v>
      </c>
      <c r="DG443">
        <f>ROUND(ROUND(AF443*AJ443,2)*CX443,2)</f>
        <v>26.55</v>
      </c>
      <c r="DH443">
        <f>ROUND(ROUND(AG443*AK443,2)*CX443,2)</f>
        <v>3.78</v>
      </c>
      <c r="DI443">
        <f t="shared" si="170"/>
        <v>0</v>
      </c>
      <c r="DJ443">
        <f>DG443</f>
        <v>26.55</v>
      </c>
      <c r="DK443">
        <v>0</v>
      </c>
      <c r="DL443" t="s">
        <v>3</v>
      </c>
      <c r="DM443">
        <v>0</v>
      </c>
      <c r="DN443" t="s">
        <v>3</v>
      </c>
      <c r="DO443">
        <v>0</v>
      </c>
    </row>
    <row r="444" spans="1:119" x14ac:dyDescent="0.2">
      <c r="A444">
        <f>ROW(Source!A481)</f>
        <v>481</v>
      </c>
      <c r="B444">
        <v>94798619</v>
      </c>
      <c r="C444">
        <v>94802731</v>
      </c>
      <c r="D444">
        <v>37777376</v>
      </c>
      <c r="E444">
        <v>1</v>
      </c>
      <c r="F444">
        <v>1</v>
      </c>
      <c r="G444">
        <v>1</v>
      </c>
      <c r="H444">
        <v>3</v>
      </c>
      <c r="I444" t="s">
        <v>564</v>
      </c>
      <c r="J444" t="s">
        <v>566</v>
      </c>
      <c r="K444" t="s">
        <v>565</v>
      </c>
      <c r="L444">
        <v>1339</v>
      </c>
      <c r="N444">
        <v>1007</v>
      </c>
      <c r="O444" t="s">
        <v>52</v>
      </c>
      <c r="P444" t="s">
        <v>52</v>
      </c>
      <c r="Q444">
        <v>1</v>
      </c>
      <c r="W444">
        <v>1</v>
      </c>
      <c r="X444">
        <v>-90225913</v>
      </c>
      <c r="Y444">
        <f t="shared" si="191"/>
        <v>-11</v>
      </c>
      <c r="AA444">
        <v>975</v>
      </c>
      <c r="AB444">
        <v>0</v>
      </c>
      <c r="AC444">
        <v>0</v>
      </c>
      <c r="AD444">
        <v>0</v>
      </c>
      <c r="AE444">
        <v>65</v>
      </c>
      <c r="AF444">
        <v>0</v>
      </c>
      <c r="AG444">
        <v>0</v>
      </c>
      <c r="AH444">
        <v>0</v>
      </c>
      <c r="AI444">
        <v>15</v>
      </c>
      <c r="AJ444">
        <v>1</v>
      </c>
      <c r="AK444">
        <v>1</v>
      </c>
      <c r="AL444">
        <v>1</v>
      </c>
      <c r="AM444">
        <v>2</v>
      </c>
      <c r="AN444">
        <v>0</v>
      </c>
      <c r="AO444">
        <v>1</v>
      </c>
      <c r="AP444">
        <v>1</v>
      </c>
      <c r="AQ444">
        <v>0</v>
      </c>
      <c r="AR444">
        <v>0</v>
      </c>
      <c r="AS444" t="s">
        <v>3</v>
      </c>
      <c r="AT444">
        <v>-11</v>
      </c>
      <c r="AU444" t="s">
        <v>3</v>
      </c>
      <c r="AV444">
        <v>0</v>
      </c>
      <c r="AW444">
        <v>2</v>
      </c>
      <c r="AX444">
        <v>94802735</v>
      </c>
      <c r="AY444">
        <v>1</v>
      </c>
      <c r="AZ444">
        <v>6144</v>
      </c>
      <c r="BA444">
        <v>444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V444">
        <v>0</v>
      </c>
      <c r="CW444">
        <v>0</v>
      </c>
      <c r="CX444">
        <f>ROUND(Y444*Source!I481,9)</f>
        <v>-0.374</v>
      </c>
      <c r="CY444">
        <f>AA444</f>
        <v>975</v>
      </c>
      <c r="CZ444">
        <f>AE444</f>
        <v>65</v>
      </c>
      <c r="DA444">
        <f>AI444</f>
        <v>15</v>
      </c>
      <c r="DB444">
        <f t="shared" si="192"/>
        <v>-715</v>
      </c>
      <c r="DC444">
        <f t="shared" si="193"/>
        <v>0</v>
      </c>
      <c r="DD444" t="s">
        <v>3</v>
      </c>
      <c r="DE444" t="s">
        <v>3</v>
      </c>
      <c r="DF444">
        <f>ROUND(ROUND(AE444*AI444,2)*CX444,2)</f>
        <v>-364.65</v>
      </c>
      <c r="DG444">
        <f>ROUND(ROUND(AF444,2)*CX444,2)</f>
        <v>0</v>
      </c>
      <c r="DH444">
        <f>ROUND(ROUND(AG444,2)*CX444,2)</f>
        <v>0</v>
      </c>
      <c r="DI444">
        <f t="shared" si="170"/>
        <v>0</v>
      </c>
      <c r="DJ444">
        <f>DF444</f>
        <v>-364.65</v>
      </c>
      <c r="DK444">
        <v>0</v>
      </c>
      <c r="DL444" t="s">
        <v>3</v>
      </c>
      <c r="DM444">
        <v>0</v>
      </c>
      <c r="DN444" t="s">
        <v>3</v>
      </c>
      <c r="DO444">
        <v>0</v>
      </c>
    </row>
    <row r="445" spans="1:119" x14ac:dyDescent="0.2">
      <c r="A445">
        <f>ROW(Source!A484)</f>
        <v>484</v>
      </c>
      <c r="B445">
        <v>94798619</v>
      </c>
      <c r="C445">
        <v>94802738</v>
      </c>
      <c r="D445">
        <v>23129487</v>
      </c>
      <c r="E445">
        <v>1</v>
      </c>
      <c r="F445">
        <v>1</v>
      </c>
      <c r="G445">
        <v>1</v>
      </c>
      <c r="H445">
        <v>1</v>
      </c>
      <c r="I445" t="s">
        <v>915</v>
      </c>
      <c r="J445" t="s">
        <v>3</v>
      </c>
      <c r="K445" t="s">
        <v>916</v>
      </c>
      <c r="L445">
        <v>1369</v>
      </c>
      <c r="N445">
        <v>1013</v>
      </c>
      <c r="O445" t="s">
        <v>696</v>
      </c>
      <c r="P445" t="s">
        <v>696</v>
      </c>
      <c r="Q445">
        <v>1</v>
      </c>
      <c r="W445">
        <v>0</v>
      </c>
      <c r="X445">
        <v>2002501603</v>
      </c>
      <c r="Y445">
        <f t="shared" si="191"/>
        <v>96.55</v>
      </c>
      <c r="AA445">
        <v>0</v>
      </c>
      <c r="AB445">
        <v>0</v>
      </c>
      <c r="AC445">
        <v>0</v>
      </c>
      <c r="AD445">
        <v>8.48</v>
      </c>
      <c r="AE445">
        <v>0</v>
      </c>
      <c r="AF445">
        <v>0</v>
      </c>
      <c r="AG445">
        <v>0</v>
      </c>
      <c r="AH445">
        <v>8.48</v>
      </c>
      <c r="AI445">
        <v>1</v>
      </c>
      <c r="AJ445">
        <v>1</v>
      </c>
      <c r="AK445">
        <v>1</v>
      </c>
      <c r="AL445">
        <v>1</v>
      </c>
      <c r="AM445">
        <v>-2</v>
      </c>
      <c r="AN445">
        <v>0</v>
      </c>
      <c r="AO445">
        <v>1</v>
      </c>
      <c r="AP445">
        <v>1</v>
      </c>
      <c r="AQ445">
        <v>0</v>
      </c>
      <c r="AR445">
        <v>0</v>
      </c>
      <c r="AS445" t="s">
        <v>3</v>
      </c>
      <c r="AT445">
        <v>96.55</v>
      </c>
      <c r="AU445" t="s">
        <v>3</v>
      </c>
      <c r="AV445">
        <v>1</v>
      </c>
      <c r="AW445">
        <v>2</v>
      </c>
      <c r="AX445">
        <v>94802739</v>
      </c>
      <c r="AY445">
        <v>1</v>
      </c>
      <c r="AZ445">
        <v>0</v>
      </c>
      <c r="BA445">
        <v>445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U445">
        <f>ROUND(AT445*Source!I484*AH445*AL445,2)</f>
        <v>34.39</v>
      </c>
      <c r="CV445">
        <f>ROUND(Y445*Source!I484,9)</f>
        <v>4.0551000000000004</v>
      </c>
      <c r="CW445">
        <v>0</v>
      </c>
      <c r="CX445">
        <f>ROUND(Y445*Source!I484,9)</f>
        <v>4.0551000000000004</v>
      </c>
      <c r="CY445">
        <f>AD445</f>
        <v>8.48</v>
      </c>
      <c r="CZ445">
        <f>AH445</f>
        <v>8.48</v>
      </c>
      <c r="DA445">
        <f>AL445</f>
        <v>1</v>
      </c>
      <c r="DB445">
        <f t="shared" si="192"/>
        <v>818.74</v>
      </c>
      <c r="DC445">
        <f t="shared" si="193"/>
        <v>0</v>
      </c>
      <c r="DD445" t="s">
        <v>3</v>
      </c>
      <c r="DE445" t="s">
        <v>3</v>
      </c>
      <c r="DF445">
        <f t="shared" ref="DF445:DF451" si="202">ROUND(ROUND(AE445,2)*CX445,2)</f>
        <v>0</v>
      </c>
      <c r="DG445">
        <f>ROUND(ROUND(AF445,2)*CX445,2)</f>
        <v>0</v>
      </c>
      <c r="DH445">
        <f>ROUND(ROUND(AG445,2)*CX445,2)</f>
        <v>0</v>
      </c>
      <c r="DI445">
        <f t="shared" si="170"/>
        <v>34.39</v>
      </c>
      <c r="DJ445">
        <f>DI445</f>
        <v>34.39</v>
      </c>
      <c r="DK445">
        <v>0</v>
      </c>
      <c r="DL445" t="s">
        <v>3</v>
      </c>
      <c r="DM445">
        <v>0</v>
      </c>
      <c r="DN445" t="s">
        <v>3</v>
      </c>
      <c r="DO445">
        <v>0</v>
      </c>
    </row>
    <row r="446" spans="1:119" x14ac:dyDescent="0.2">
      <c r="A446">
        <f>ROW(Source!A484)</f>
        <v>484</v>
      </c>
      <c r="B446">
        <v>94798619</v>
      </c>
      <c r="C446">
        <v>94802738</v>
      </c>
      <c r="D446">
        <v>121548</v>
      </c>
      <c r="E446">
        <v>1</v>
      </c>
      <c r="F446">
        <v>1</v>
      </c>
      <c r="G446">
        <v>1</v>
      </c>
      <c r="H446">
        <v>1</v>
      </c>
      <c r="I446" t="s">
        <v>28</v>
      </c>
      <c r="J446" t="s">
        <v>3</v>
      </c>
      <c r="K446" t="s">
        <v>705</v>
      </c>
      <c r="L446">
        <v>608254</v>
      </c>
      <c r="N446">
        <v>1013</v>
      </c>
      <c r="O446" t="s">
        <v>706</v>
      </c>
      <c r="P446" t="s">
        <v>706</v>
      </c>
      <c r="Q446">
        <v>1</v>
      </c>
      <c r="W446">
        <v>0</v>
      </c>
      <c r="X446">
        <v>-185737400</v>
      </c>
      <c r="Y446">
        <f t="shared" si="191"/>
        <v>10.97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1</v>
      </c>
      <c r="AL446">
        <v>1</v>
      </c>
      <c r="AM446">
        <v>-2</v>
      </c>
      <c r="AN446">
        <v>0</v>
      </c>
      <c r="AO446">
        <v>1</v>
      </c>
      <c r="AP446">
        <v>1</v>
      </c>
      <c r="AQ446">
        <v>0</v>
      </c>
      <c r="AR446">
        <v>0</v>
      </c>
      <c r="AS446" t="s">
        <v>3</v>
      </c>
      <c r="AT446">
        <v>10.97</v>
      </c>
      <c r="AU446" t="s">
        <v>3</v>
      </c>
      <c r="AV446">
        <v>2</v>
      </c>
      <c r="AW446">
        <v>2</v>
      </c>
      <c r="AX446">
        <v>94802740</v>
      </c>
      <c r="AY446">
        <v>1</v>
      </c>
      <c r="AZ446">
        <v>0</v>
      </c>
      <c r="BA446">
        <v>446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V446">
        <v>0</v>
      </c>
      <c r="CW446">
        <v>0</v>
      </c>
      <c r="CX446">
        <f>ROUND(Y446*Source!I484,9)</f>
        <v>0.46073999999999998</v>
      </c>
      <c r="CY446">
        <f>AD446</f>
        <v>0</v>
      </c>
      <c r="CZ446">
        <f>AH446</f>
        <v>0</v>
      </c>
      <c r="DA446">
        <f>AL446</f>
        <v>1</v>
      </c>
      <c r="DB446">
        <f t="shared" si="192"/>
        <v>0</v>
      </c>
      <c r="DC446">
        <f t="shared" si="193"/>
        <v>0</v>
      </c>
      <c r="DD446" t="s">
        <v>3</v>
      </c>
      <c r="DE446" t="s">
        <v>3</v>
      </c>
      <c r="DF446">
        <f t="shared" si="202"/>
        <v>0</v>
      </c>
      <c r="DG446">
        <f>ROUND(ROUND(AF446,2)*CX446,2)</f>
        <v>0</v>
      </c>
      <c r="DH446">
        <f>ROUND(ROUND(AG446,2)*CX446,2)</f>
        <v>0</v>
      </c>
      <c r="DI446">
        <f t="shared" si="170"/>
        <v>0</v>
      </c>
      <c r="DJ446">
        <f>DI446</f>
        <v>0</v>
      </c>
      <c r="DK446">
        <v>0</v>
      </c>
      <c r="DL446" t="s">
        <v>3</v>
      </c>
      <c r="DM446">
        <v>0</v>
      </c>
      <c r="DN446" t="s">
        <v>3</v>
      </c>
      <c r="DO446">
        <v>0</v>
      </c>
    </row>
    <row r="447" spans="1:119" x14ac:dyDescent="0.2">
      <c r="A447">
        <f>ROW(Source!A484)</f>
        <v>484</v>
      </c>
      <c r="B447">
        <v>94798619</v>
      </c>
      <c r="C447">
        <v>94802738</v>
      </c>
      <c r="D447">
        <v>37802443</v>
      </c>
      <c r="E447">
        <v>1</v>
      </c>
      <c r="F447">
        <v>1</v>
      </c>
      <c r="G447">
        <v>1</v>
      </c>
      <c r="H447">
        <v>2</v>
      </c>
      <c r="I447" t="s">
        <v>721</v>
      </c>
      <c r="J447" t="s">
        <v>722</v>
      </c>
      <c r="K447" t="s">
        <v>723</v>
      </c>
      <c r="L447">
        <v>1368</v>
      </c>
      <c r="N447">
        <v>1011</v>
      </c>
      <c r="O447" t="s">
        <v>700</v>
      </c>
      <c r="P447" t="s">
        <v>700</v>
      </c>
      <c r="Q447">
        <v>1</v>
      </c>
      <c r="W447">
        <v>0</v>
      </c>
      <c r="X447">
        <v>1447433125</v>
      </c>
      <c r="Y447">
        <f t="shared" si="191"/>
        <v>10.68</v>
      </c>
      <c r="AA447">
        <v>0</v>
      </c>
      <c r="AB447">
        <v>1453.68</v>
      </c>
      <c r="AC447">
        <v>426.77</v>
      </c>
      <c r="AD447">
        <v>0</v>
      </c>
      <c r="AE447">
        <v>0</v>
      </c>
      <c r="AF447">
        <v>124.14</v>
      </c>
      <c r="AG447">
        <v>12.1</v>
      </c>
      <c r="AH447">
        <v>0</v>
      </c>
      <c r="AI447">
        <v>1</v>
      </c>
      <c r="AJ447">
        <v>11.71</v>
      </c>
      <c r="AK447">
        <v>35.270000000000003</v>
      </c>
      <c r="AL447">
        <v>1</v>
      </c>
      <c r="AM447">
        <v>2</v>
      </c>
      <c r="AN447">
        <v>0</v>
      </c>
      <c r="AO447">
        <v>1</v>
      </c>
      <c r="AP447">
        <v>1</v>
      </c>
      <c r="AQ447">
        <v>0</v>
      </c>
      <c r="AR447">
        <v>0</v>
      </c>
      <c r="AS447" t="s">
        <v>3</v>
      </c>
      <c r="AT447">
        <v>10.68</v>
      </c>
      <c r="AU447" t="s">
        <v>3</v>
      </c>
      <c r="AV447">
        <v>0</v>
      </c>
      <c r="AW447">
        <v>2</v>
      </c>
      <c r="AX447">
        <v>94802741</v>
      </c>
      <c r="AY447">
        <v>1</v>
      </c>
      <c r="AZ447">
        <v>0</v>
      </c>
      <c r="BA447">
        <v>447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V447">
        <v>0</v>
      </c>
      <c r="CW447">
        <f>ROUND(Y447*Source!I484*DO447,9)</f>
        <v>0</v>
      </c>
      <c r="CX447">
        <f>ROUND(Y447*Source!I484,9)</f>
        <v>0.44856000000000001</v>
      </c>
      <c r="CY447">
        <f>AB447</f>
        <v>1453.68</v>
      </c>
      <c r="CZ447">
        <f>AF447</f>
        <v>124.14</v>
      </c>
      <c r="DA447">
        <f>AJ447</f>
        <v>11.71</v>
      </c>
      <c r="DB447">
        <f t="shared" si="192"/>
        <v>1325.82</v>
      </c>
      <c r="DC447">
        <f t="shared" si="193"/>
        <v>129.22999999999999</v>
      </c>
      <c r="DD447" t="s">
        <v>3</v>
      </c>
      <c r="DE447" t="s">
        <v>3</v>
      </c>
      <c r="DF447">
        <f t="shared" si="202"/>
        <v>0</v>
      </c>
      <c r="DG447">
        <f>ROUND(ROUND(AF447*AJ447,2)*CX447,2)</f>
        <v>652.05999999999995</v>
      </c>
      <c r="DH447">
        <f>ROUND(ROUND(AG447*AK447,2)*CX447,2)</f>
        <v>191.43</v>
      </c>
      <c r="DI447">
        <f t="shared" si="170"/>
        <v>0</v>
      </c>
      <c r="DJ447">
        <f>DG447</f>
        <v>652.05999999999995</v>
      </c>
      <c r="DK447">
        <v>0</v>
      </c>
      <c r="DL447" t="s">
        <v>3</v>
      </c>
      <c r="DM447">
        <v>0</v>
      </c>
      <c r="DN447" t="s">
        <v>3</v>
      </c>
      <c r="DO447">
        <v>0</v>
      </c>
    </row>
    <row r="448" spans="1:119" x14ac:dyDescent="0.2">
      <c r="A448">
        <f>ROW(Source!A484)</f>
        <v>484</v>
      </c>
      <c r="B448">
        <v>94798619</v>
      </c>
      <c r="C448">
        <v>94802738</v>
      </c>
      <c r="D448">
        <v>37802515</v>
      </c>
      <c r="E448">
        <v>1</v>
      </c>
      <c r="F448">
        <v>1</v>
      </c>
      <c r="G448">
        <v>1</v>
      </c>
      <c r="H448">
        <v>2</v>
      </c>
      <c r="I448" t="s">
        <v>774</v>
      </c>
      <c r="J448" t="s">
        <v>775</v>
      </c>
      <c r="K448" t="s">
        <v>776</v>
      </c>
      <c r="L448">
        <v>1368</v>
      </c>
      <c r="N448">
        <v>1011</v>
      </c>
      <c r="O448" t="s">
        <v>700</v>
      </c>
      <c r="P448" t="s">
        <v>700</v>
      </c>
      <c r="Q448">
        <v>1</v>
      </c>
      <c r="W448">
        <v>0</v>
      </c>
      <c r="X448">
        <v>-674318163</v>
      </c>
      <c r="Y448">
        <f t="shared" si="191"/>
        <v>0.16</v>
      </c>
      <c r="AA448">
        <v>0</v>
      </c>
      <c r="AB448">
        <v>2230.73</v>
      </c>
      <c r="AC448">
        <v>317.43</v>
      </c>
      <c r="AD448">
        <v>0</v>
      </c>
      <c r="AE448">
        <v>0</v>
      </c>
      <c r="AF448">
        <v>87.24</v>
      </c>
      <c r="AG448">
        <v>9</v>
      </c>
      <c r="AH448">
        <v>0</v>
      </c>
      <c r="AI448">
        <v>1</v>
      </c>
      <c r="AJ448">
        <v>25.57</v>
      </c>
      <c r="AK448">
        <v>35.270000000000003</v>
      </c>
      <c r="AL448">
        <v>1</v>
      </c>
      <c r="AM448">
        <v>2</v>
      </c>
      <c r="AN448">
        <v>0</v>
      </c>
      <c r="AO448">
        <v>1</v>
      </c>
      <c r="AP448">
        <v>1</v>
      </c>
      <c r="AQ448">
        <v>0</v>
      </c>
      <c r="AR448">
        <v>0</v>
      </c>
      <c r="AS448" t="s">
        <v>3</v>
      </c>
      <c r="AT448">
        <v>0.16</v>
      </c>
      <c r="AU448" t="s">
        <v>3</v>
      </c>
      <c r="AV448">
        <v>0</v>
      </c>
      <c r="AW448">
        <v>2</v>
      </c>
      <c r="AX448">
        <v>94802742</v>
      </c>
      <c r="AY448">
        <v>1</v>
      </c>
      <c r="AZ448">
        <v>0</v>
      </c>
      <c r="BA448">
        <v>448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V448">
        <v>0</v>
      </c>
      <c r="CW448">
        <f>ROUND(Y448*Source!I484*DO448,9)</f>
        <v>0</v>
      </c>
      <c r="CX448">
        <f>ROUND(Y448*Source!I484,9)</f>
        <v>6.7200000000000003E-3</v>
      </c>
      <c r="CY448">
        <f>AB448</f>
        <v>2230.73</v>
      </c>
      <c r="CZ448">
        <f>AF448</f>
        <v>87.24</v>
      </c>
      <c r="DA448">
        <f>AJ448</f>
        <v>25.57</v>
      </c>
      <c r="DB448">
        <f t="shared" si="192"/>
        <v>13.96</v>
      </c>
      <c r="DC448">
        <f t="shared" si="193"/>
        <v>1.44</v>
      </c>
      <c r="DD448" t="s">
        <v>3</v>
      </c>
      <c r="DE448" t="s">
        <v>3</v>
      </c>
      <c r="DF448">
        <f t="shared" si="202"/>
        <v>0</v>
      </c>
      <c r="DG448">
        <f>ROUND(ROUND(AF448*AJ448,2)*CX448,2)</f>
        <v>14.99</v>
      </c>
      <c r="DH448">
        <f>ROUND(ROUND(AG448*AK448,2)*CX448,2)</f>
        <v>2.13</v>
      </c>
      <c r="DI448">
        <f t="shared" si="170"/>
        <v>0</v>
      </c>
      <c r="DJ448">
        <f>DG448</f>
        <v>14.99</v>
      </c>
      <c r="DK448">
        <v>0</v>
      </c>
      <c r="DL448" t="s">
        <v>3</v>
      </c>
      <c r="DM448">
        <v>0</v>
      </c>
      <c r="DN448" t="s">
        <v>3</v>
      </c>
      <c r="DO448">
        <v>0</v>
      </c>
    </row>
    <row r="449" spans="1:119" x14ac:dyDescent="0.2">
      <c r="A449">
        <f>ROW(Source!A484)</f>
        <v>484</v>
      </c>
      <c r="B449">
        <v>94798619</v>
      </c>
      <c r="C449">
        <v>94802738</v>
      </c>
      <c r="D449">
        <v>37802635</v>
      </c>
      <c r="E449">
        <v>1</v>
      </c>
      <c r="F449">
        <v>1</v>
      </c>
      <c r="G449">
        <v>1</v>
      </c>
      <c r="H449">
        <v>2</v>
      </c>
      <c r="I449" t="s">
        <v>1098</v>
      </c>
      <c r="J449" t="s">
        <v>1099</v>
      </c>
      <c r="K449" t="s">
        <v>1100</v>
      </c>
      <c r="L449">
        <v>1368</v>
      </c>
      <c r="N449">
        <v>1011</v>
      </c>
      <c r="O449" t="s">
        <v>700</v>
      </c>
      <c r="P449" t="s">
        <v>700</v>
      </c>
      <c r="Q449">
        <v>1</v>
      </c>
      <c r="W449">
        <v>0</v>
      </c>
      <c r="X449">
        <v>245639009</v>
      </c>
      <c r="Y449">
        <f t="shared" si="191"/>
        <v>0.13</v>
      </c>
      <c r="AA449">
        <v>0</v>
      </c>
      <c r="AB449">
        <v>518.19000000000005</v>
      </c>
      <c r="AC449">
        <v>365.04</v>
      </c>
      <c r="AD449">
        <v>0</v>
      </c>
      <c r="AE449">
        <v>0</v>
      </c>
      <c r="AF449">
        <v>29.26</v>
      </c>
      <c r="AG449">
        <v>10.35</v>
      </c>
      <c r="AH449">
        <v>0</v>
      </c>
      <c r="AI449">
        <v>1</v>
      </c>
      <c r="AJ449">
        <v>17.71</v>
      </c>
      <c r="AK449">
        <v>35.270000000000003</v>
      </c>
      <c r="AL449">
        <v>1</v>
      </c>
      <c r="AM449">
        <v>2</v>
      </c>
      <c r="AN449">
        <v>0</v>
      </c>
      <c r="AO449">
        <v>1</v>
      </c>
      <c r="AP449">
        <v>1</v>
      </c>
      <c r="AQ449">
        <v>0</v>
      </c>
      <c r="AR449">
        <v>0</v>
      </c>
      <c r="AS449" t="s">
        <v>3</v>
      </c>
      <c r="AT449">
        <v>0.13</v>
      </c>
      <c r="AU449" t="s">
        <v>3</v>
      </c>
      <c r="AV449">
        <v>0</v>
      </c>
      <c r="AW449">
        <v>2</v>
      </c>
      <c r="AX449">
        <v>94802743</v>
      </c>
      <c r="AY449">
        <v>1</v>
      </c>
      <c r="AZ449">
        <v>0</v>
      </c>
      <c r="BA449">
        <v>449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V449">
        <v>0</v>
      </c>
      <c r="CW449">
        <f>ROUND(Y449*Source!I484*DO449,9)</f>
        <v>0</v>
      </c>
      <c r="CX449">
        <f>ROUND(Y449*Source!I484,9)</f>
        <v>5.4599999999999996E-3</v>
      </c>
      <c r="CY449">
        <f>AB449</f>
        <v>518.19000000000005</v>
      </c>
      <c r="CZ449">
        <f>AF449</f>
        <v>29.26</v>
      </c>
      <c r="DA449">
        <f>AJ449</f>
        <v>17.71</v>
      </c>
      <c r="DB449">
        <f t="shared" si="192"/>
        <v>3.8</v>
      </c>
      <c r="DC449">
        <f t="shared" si="193"/>
        <v>1.35</v>
      </c>
      <c r="DD449" t="s">
        <v>3</v>
      </c>
      <c r="DE449" t="s">
        <v>3</v>
      </c>
      <c r="DF449">
        <f t="shared" si="202"/>
        <v>0</v>
      </c>
      <c r="DG449">
        <f>ROUND(ROUND(AF449*AJ449,2)*CX449,2)</f>
        <v>2.83</v>
      </c>
      <c r="DH449">
        <f>ROUND(ROUND(AG449*AK449,2)*CX449,2)</f>
        <v>1.99</v>
      </c>
      <c r="DI449">
        <f t="shared" ref="DI449:DI498" si="203">ROUND(ROUND(AH449,2)*CX449,2)</f>
        <v>0</v>
      </c>
      <c r="DJ449">
        <f>DG449</f>
        <v>2.83</v>
      </c>
      <c r="DK449">
        <v>0</v>
      </c>
      <c r="DL449" t="s">
        <v>3</v>
      </c>
      <c r="DM449">
        <v>0</v>
      </c>
      <c r="DN449" t="s">
        <v>3</v>
      </c>
      <c r="DO449">
        <v>0</v>
      </c>
    </row>
    <row r="450" spans="1:119" x14ac:dyDescent="0.2">
      <c r="A450">
        <f>ROW(Source!A484)</f>
        <v>484</v>
      </c>
      <c r="B450">
        <v>94798619</v>
      </c>
      <c r="C450">
        <v>94802738</v>
      </c>
      <c r="D450">
        <v>37804117</v>
      </c>
      <c r="E450">
        <v>1</v>
      </c>
      <c r="F450">
        <v>1</v>
      </c>
      <c r="G450">
        <v>1</v>
      </c>
      <c r="H450">
        <v>2</v>
      </c>
      <c r="I450" t="s">
        <v>1101</v>
      </c>
      <c r="J450" t="s">
        <v>1102</v>
      </c>
      <c r="K450" t="s">
        <v>1103</v>
      </c>
      <c r="L450">
        <v>1368</v>
      </c>
      <c r="N450">
        <v>1011</v>
      </c>
      <c r="O450" t="s">
        <v>700</v>
      </c>
      <c r="P450" t="s">
        <v>700</v>
      </c>
      <c r="Q450">
        <v>1</v>
      </c>
      <c r="W450">
        <v>0</v>
      </c>
      <c r="X450">
        <v>1205657841</v>
      </c>
      <c r="Y450">
        <f t="shared" si="191"/>
        <v>0.26</v>
      </c>
      <c r="AA450">
        <v>0</v>
      </c>
      <c r="AB450">
        <v>64.930000000000007</v>
      </c>
      <c r="AC450">
        <v>0</v>
      </c>
      <c r="AD450">
        <v>0</v>
      </c>
      <c r="AE450">
        <v>0</v>
      </c>
      <c r="AF450">
        <v>7.42</v>
      </c>
      <c r="AG450">
        <v>0</v>
      </c>
      <c r="AH450">
        <v>0</v>
      </c>
      <c r="AI450">
        <v>1</v>
      </c>
      <c r="AJ450">
        <v>8.75</v>
      </c>
      <c r="AK450">
        <v>35.270000000000003</v>
      </c>
      <c r="AL450">
        <v>1</v>
      </c>
      <c r="AM450">
        <v>2</v>
      </c>
      <c r="AN450">
        <v>0</v>
      </c>
      <c r="AO450">
        <v>1</v>
      </c>
      <c r="AP450">
        <v>1</v>
      </c>
      <c r="AQ450">
        <v>0</v>
      </c>
      <c r="AR450">
        <v>0</v>
      </c>
      <c r="AS450" t="s">
        <v>3</v>
      </c>
      <c r="AT450">
        <v>0.26</v>
      </c>
      <c r="AU450" t="s">
        <v>3</v>
      </c>
      <c r="AV450">
        <v>0</v>
      </c>
      <c r="AW450">
        <v>2</v>
      </c>
      <c r="AX450">
        <v>94802744</v>
      </c>
      <c r="AY450">
        <v>1</v>
      </c>
      <c r="AZ450">
        <v>0</v>
      </c>
      <c r="BA450">
        <v>450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V450">
        <v>0</v>
      </c>
      <c r="CW450">
        <f>ROUND(Y450*Source!I484*DO450,9)</f>
        <v>0</v>
      </c>
      <c r="CX450">
        <f>ROUND(Y450*Source!I484,9)</f>
        <v>1.0919999999999999E-2</v>
      </c>
      <c r="CY450">
        <f>AB450</f>
        <v>64.930000000000007</v>
      </c>
      <c r="CZ450">
        <f>AF450</f>
        <v>7.42</v>
      </c>
      <c r="DA450">
        <f>AJ450</f>
        <v>8.75</v>
      </c>
      <c r="DB450">
        <f t="shared" si="192"/>
        <v>1.93</v>
      </c>
      <c r="DC450">
        <f t="shared" si="193"/>
        <v>0</v>
      </c>
      <c r="DD450" t="s">
        <v>3</v>
      </c>
      <c r="DE450" t="s">
        <v>3</v>
      </c>
      <c r="DF450">
        <f t="shared" si="202"/>
        <v>0</v>
      </c>
      <c r="DG450">
        <f>ROUND(ROUND(AF450*AJ450,2)*CX450,2)</f>
        <v>0.71</v>
      </c>
      <c r="DH450">
        <f>ROUND(ROUND(AG450*AK450,2)*CX450,2)</f>
        <v>0</v>
      </c>
      <c r="DI450">
        <f t="shared" si="203"/>
        <v>0</v>
      </c>
      <c r="DJ450">
        <f>DG450</f>
        <v>0.71</v>
      </c>
      <c r="DK450">
        <v>0</v>
      </c>
      <c r="DL450" t="s">
        <v>3</v>
      </c>
      <c r="DM450">
        <v>0</v>
      </c>
      <c r="DN450" t="s">
        <v>3</v>
      </c>
      <c r="DO450">
        <v>0</v>
      </c>
    </row>
    <row r="451" spans="1:119" x14ac:dyDescent="0.2">
      <c r="A451">
        <f>ROW(Source!A484)</f>
        <v>484</v>
      </c>
      <c r="B451">
        <v>94798619</v>
      </c>
      <c r="C451">
        <v>94802738</v>
      </c>
      <c r="D451">
        <v>37804456</v>
      </c>
      <c r="E451">
        <v>1</v>
      </c>
      <c r="F451">
        <v>1</v>
      </c>
      <c r="G451">
        <v>1</v>
      </c>
      <c r="H451">
        <v>2</v>
      </c>
      <c r="I451" t="s">
        <v>713</v>
      </c>
      <c r="J451" t="s">
        <v>714</v>
      </c>
      <c r="K451" t="s">
        <v>715</v>
      </c>
      <c r="L451">
        <v>1368</v>
      </c>
      <c r="N451">
        <v>1011</v>
      </c>
      <c r="O451" t="s">
        <v>700</v>
      </c>
      <c r="P451" t="s">
        <v>700</v>
      </c>
      <c r="Q451">
        <v>1</v>
      </c>
      <c r="W451">
        <v>0</v>
      </c>
      <c r="X451">
        <v>-671646184</v>
      </c>
      <c r="Y451">
        <f t="shared" si="191"/>
        <v>6.33</v>
      </c>
      <c r="AA451">
        <v>0</v>
      </c>
      <c r="AB451">
        <v>1305.74</v>
      </c>
      <c r="AC451">
        <v>365.04</v>
      </c>
      <c r="AD451">
        <v>0</v>
      </c>
      <c r="AE451">
        <v>0</v>
      </c>
      <c r="AF451">
        <v>91.76</v>
      </c>
      <c r="AG451">
        <v>10.35</v>
      </c>
      <c r="AH451">
        <v>0</v>
      </c>
      <c r="AI451">
        <v>1</v>
      </c>
      <c r="AJ451">
        <v>14.23</v>
      </c>
      <c r="AK451">
        <v>35.270000000000003</v>
      </c>
      <c r="AL451">
        <v>1</v>
      </c>
      <c r="AM451">
        <v>2</v>
      </c>
      <c r="AN451">
        <v>0</v>
      </c>
      <c r="AO451">
        <v>1</v>
      </c>
      <c r="AP451">
        <v>1</v>
      </c>
      <c r="AQ451">
        <v>0</v>
      </c>
      <c r="AR451">
        <v>0</v>
      </c>
      <c r="AS451" t="s">
        <v>3</v>
      </c>
      <c r="AT451">
        <v>6.33</v>
      </c>
      <c r="AU451" t="s">
        <v>3</v>
      </c>
      <c r="AV451">
        <v>0</v>
      </c>
      <c r="AW451">
        <v>2</v>
      </c>
      <c r="AX451">
        <v>94802745</v>
      </c>
      <c r="AY451">
        <v>1</v>
      </c>
      <c r="AZ451">
        <v>0</v>
      </c>
      <c r="BA451">
        <v>451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V451">
        <v>0</v>
      </c>
      <c r="CW451">
        <f>ROUND(Y451*Source!I484*DO451,9)</f>
        <v>0</v>
      </c>
      <c r="CX451">
        <f>ROUND(Y451*Source!I484,9)</f>
        <v>0.26585999999999999</v>
      </c>
      <c r="CY451">
        <f>AB451</f>
        <v>1305.74</v>
      </c>
      <c r="CZ451">
        <f>AF451</f>
        <v>91.76</v>
      </c>
      <c r="DA451">
        <f>AJ451</f>
        <v>14.23</v>
      </c>
      <c r="DB451">
        <f t="shared" si="192"/>
        <v>580.84</v>
      </c>
      <c r="DC451">
        <f t="shared" si="193"/>
        <v>65.52</v>
      </c>
      <c r="DD451" t="s">
        <v>3</v>
      </c>
      <c r="DE451" t="s">
        <v>3</v>
      </c>
      <c r="DF451">
        <f t="shared" si="202"/>
        <v>0</v>
      </c>
      <c r="DG451">
        <f>ROUND(ROUND(AF451*AJ451,2)*CX451,2)</f>
        <v>347.14</v>
      </c>
      <c r="DH451">
        <f>ROUND(ROUND(AG451*AK451,2)*CX451,2)</f>
        <v>97.05</v>
      </c>
      <c r="DI451">
        <f t="shared" si="203"/>
        <v>0</v>
      </c>
      <c r="DJ451">
        <f>DG451</f>
        <v>347.14</v>
      </c>
      <c r="DK451">
        <v>0</v>
      </c>
      <c r="DL451" t="s">
        <v>3</v>
      </c>
      <c r="DM451">
        <v>0</v>
      </c>
      <c r="DN451" t="s">
        <v>3</v>
      </c>
      <c r="DO451">
        <v>0</v>
      </c>
    </row>
    <row r="452" spans="1:119" x14ac:dyDescent="0.2">
      <c r="A452">
        <f>ROW(Source!A484)</f>
        <v>484</v>
      </c>
      <c r="B452">
        <v>94798619</v>
      </c>
      <c r="C452">
        <v>94802738</v>
      </c>
      <c r="D452">
        <v>37731376</v>
      </c>
      <c r="E452">
        <v>1</v>
      </c>
      <c r="F452">
        <v>1</v>
      </c>
      <c r="G452">
        <v>1</v>
      </c>
      <c r="H452">
        <v>3</v>
      </c>
      <c r="I452" t="s">
        <v>1104</v>
      </c>
      <c r="J452" t="s">
        <v>1105</v>
      </c>
      <c r="K452" t="s">
        <v>1106</v>
      </c>
      <c r="L452">
        <v>1348</v>
      </c>
      <c r="N452">
        <v>1009</v>
      </c>
      <c r="O452" t="s">
        <v>170</v>
      </c>
      <c r="P452" t="s">
        <v>170</v>
      </c>
      <c r="Q452">
        <v>1000</v>
      </c>
      <c r="W452">
        <v>0</v>
      </c>
      <c r="X452">
        <v>1511519305</v>
      </c>
      <c r="Y452">
        <f t="shared" si="191"/>
        <v>7.0000000000000001E-3</v>
      </c>
      <c r="AA452">
        <v>7835.3</v>
      </c>
      <c r="AB452">
        <v>0</v>
      </c>
      <c r="AC452">
        <v>0</v>
      </c>
      <c r="AD452">
        <v>0</v>
      </c>
      <c r="AE452">
        <v>499.7</v>
      </c>
      <c r="AF452">
        <v>0</v>
      </c>
      <c r="AG452">
        <v>0</v>
      </c>
      <c r="AH452">
        <v>0</v>
      </c>
      <c r="AI452">
        <v>15.68</v>
      </c>
      <c r="AJ452">
        <v>1</v>
      </c>
      <c r="AK452">
        <v>1</v>
      </c>
      <c r="AL452">
        <v>1</v>
      </c>
      <c r="AM452">
        <v>2</v>
      </c>
      <c r="AN452">
        <v>0</v>
      </c>
      <c r="AO452">
        <v>1</v>
      </c>
      <c r="AP452">
        <v>1</v>
      </c>
      <c r="AQ452">
        <v>0</v>
      </c>
      <c r="AR452">
        <v>0</v>
      </c>
      <c r="AS452" t="s">
        <v>3</v>
      </c>
      <c r="AT452">
        <v>7.0000000000000001E-3</v>
      </c>
      <c r="AU452" t="s">
        <v>3</v>
      </c>
      <c r="AV452">
        <v>0</v>
      </c>
      <c r="AW452">
        <v>2</v>
      </c>
      <c r="AX452">
        <v>94802746</v>
      </c>
      <c r="AY452">
        <v>1</v>
      </c>
      <c r="AZ452">
        <v>0</v>
      </c>
      <c r="BA452">
        <v>452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V452">
        <v>0</v>
      </c>
      <c r="CW452">
        <v>0</v>
      </c>
      <c r="CX452">
        <f>ROUND(Y452*Source!I484,9)</f>
        <v>2.9399999999999999E-4</v>
      </c>
      <c r="CY452">
        <f t="shared" ref="CY452:CY461" si="204">AA452</f>
        <v>7835.3</v>
      </c>
      <c r="CZ452">
        <f t="shared" ref="CZ452:CZ461" si="205">AE452</f>
        <v>499.7</v>
      </c>
      <c r="DA452">
        <f t="shared" ref="DA452:DA461" si="206">AI452</f>
        <v>15.68</v>
      </c>
      <c r="DB452">
        <f t="shared" si="192"/>
        <v>3.5</v>
      </c>
      <c r="DC452">
        <f t="shared" si="193"/>
        <v>0</v>
      </c>
      <c r="DD452" t="s">
        <v>3</v>
      </c>
      <c r="DE452" t="s">
        <v>3</v>
      </c>
      <c r="DF452">
        <f>ROUND(ROUND(AE452*AI452,2)*CX452,2)</f>
        <v>2.2999999999999998</v>
      </c>
      <c r="DG452">
        <f t="shared" ref="DG452:DG462" si="207">ROUND(ROUND(AF452,2)*CX452,2)</f>
        <v>0</v>
      </c>
      <c r="DH452">
        <f t="shared" ref="DH452:DH462" si="208">ROUND(ROUND(AG452,2)*CX452,2)</f>
        <v>0</v>
      </c>
      <c r="DI452">
        <f t="shared" si="203"/>
        <v>0</v>
      </c>
      <c r="DJ452">
        <f t="shared" ref="DJ452:DJ461" si="209">DF452</f>
        <v>2.2999999999999998</v>
      </c>
      <c r="DK452">
        <v>0</v>
      </c>
      <c r="DL452" t="s">
        <v>3</v>
      </c>
      <c r="DM452">
        <v>0</v>
      </c>
      <c r="DN452" t="s">
        <v>3</v>
      </c>
      <c r="DO452">
        <v>0</v>
      </c>
    </row>
    <row r="453" spans="1:119" x14ac:dyDescent="0.2">
      <c r="A453">
        <f>ROW(Source!A484)</f>
        <v>484</v>
      </c>
      <c r="B453">
        <v>94798619</v>
      </c>
      <c r="C453">
        <v>94802738</v>
      </c>
      <c r="D453">
        <v>37737761</v>
      </c>
      <c r="E453">
        <v>1</v>
      </c>
      <c r="F453">
        <v>1</v>
      </c>
      <c r="G453">
        <v>1</v>
      </c>
      <c r="H453">
        <v>3</v>
      </c>
      <c r="I453" t="s">
        <v>1107</v>
      </c>
      <c r="J453" t="s">
        <v>1108</v>
      </c>
      <c r="K453" t="s">
        <v>1109</v>
      </c>
      <c r="L453">
        <v>1348</v>
      </c>
      <c r="N453">
        <v>1009</v>
      </c>
      <c r="O453" t="s">
        <v>170</v>
      </c>
      <c r="P453" t="s">
        <v>170</v>
      </c>
      <c r="Q453">
        <v>1000</v>
      </c>
      <c r="W453">
        <v>0</v>
      </c>
      <c r="X453">
        <v>1177854694</v>
      </c>
      <c r="Y453">
        <f t="shared" si="191"/>
        <v>1.9E-2</v>
      </c>
      <c r="AA453">
        <v>109662.71</v>
      </c>
      <c r="AB453">
        <v>0</v>
      </c>
      <c r="AC453">
        <v>0</v>
      </c>
      <c r="AD453">
        <v>0</v>
      </c>
      <c r="AE453">
        <v>4434.3999999999996</v>
      </c>
      <c r="AF453">
        <v>0</v>
      </c>
      <c r="AG453">
        <v>0</v>
      </c>
      <c r="AH453">
        <v>0</v>
      </c>
      <c r="AI453">
        <v>24.73</v>
      </c>
      <c r="AJ453">
        <v>1</v>
      </c>
      <c r="AK453">
        <v>1</v>
      </c>
      <c r="AL453">
        <v>1</v>
      </c>
      <c r="AM453">
        <v>2</v>
      </c>
      <c r="AN453">
        <v>0</v>
      </c>
      <c r="AO453">
        <v>1</v>
      </c>
      <c r="AP453">
        <v>1</v>
      </c>
      <c r="AQ453">
        <v>0</v>
      </c>
      <c r="AR453">
        <v>0</v>
      </c>
      <c r="AS453" t="s">
        <v>3</v>
      </c>
      <c r="AT453">
        <v>1.9E-2</v>
      </c>
      <c r="AU453" t="s">
        <v>3</v>
      </c>
      <c r="AV453">
        <v>0</v>
      </c>
      <c r="AW453">
        <v>2</v>
      </c>
      <c r="AX453">
        <v>94802747</v>
      </c>
      <c r="AY453">
        <v>1</v>
      </c>
      <c r="AZ453">
        <v>0</v>
      </c>
      <c r="BA453">
        <v>453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V453">
        <v>0</v>
      </c>
      <c r="CW453">
        <v>0</v>
      </c>
      <c r="CX453">
        <f>ROUND(Y453*Source!I484,9)</f>
        <v>7.9799999999999999E-4</v>
      </c>
      <c r="CY453">
        <f t="shared" si="204"/>
        <v>109662.71</v>
      </c>
      <c r="CZ453">
        <f t="shared" si="205"/>
        <v>4434.3999999999996</v>
      </c>
      <c r="DA453">
        <f t="shared" si="206"/>
        <v>24.73</v>
      </c>
      <c r="DB453">
        <f t="shared" si="192"/>
        <v>84.25</v>
      </c>
      <c r="DC453">
        <f t="shared" si="193"/>
        <v>0</v>
      </c>
      <c r="DD453" t="s">
        <v>3</v>
      </c>
      <c r="DE453" t="s">
        <v>3</v>
      </c>
      <c r="DF453">
        <f>ROUND(ROUND(AE453*AI453,2)*CX453,2)</f>
        <v>87.51</v>
      </c>
      <c r="DG453">
        <f t="shared" si="207"/>
        <v>0</v>
      </c>
      <c r="DH453">
        <f t="shared" si="208"/>
        <v>0</v>
      </c>
      <c r="DI453">
        <f t="shared" si="203"/>
        <v>0</v>
      </c>
      <c r="DJ453">
        <f t="shared" si="209"/>
        <v>87.51</v>
      </c>
      <c r="DK453">
        <v>0</v>
      </c>
      <c r="DL453" t="s">
        <v>3</v>
      </c>
      <c r="DM453">
        <v>0</v>
      </c>
      <c r="DN453" t="s">
        <v>3</v>
      </c>
      <c r="DO453">
        <v>0</v>
      </c>
    </row>
    <row r="454" spans="1:119" x14ac:dyDescent="0.2">
      <c r="A454">
        <f>ROW(Source!A484)</f>
        <v>484</v>
      </c>
      <c r="B454">
        <v>94798619</v>
      </c>
      <c r="C454">
        <v>94802738</v>
      </c>
      <c r="D454">
        <v>37735333</v>
      </c>
      <c r="E454">
        <v>1</v>
      </c>
      <c r="F454">
        <v>1</v>
      </c>
      <c r="G454">
        <v>1</v>
      </c>
      <c r="H454">
        <v>3</v>
      </c>
      <c r="I454" t="s">
        <v>574</v>
      </c>
      <c r="J454" t="s">
        <v>576</v>
      </c>
      <c r="K454" t="s">
        <v>575</v>
      </c>
      <c r="L454">
        <v>1354</v>
      </c>
      <c r="N454">
        <v>1010</v>
      </c>
      <c r="O454" t="s">
        <v>47</v>
      </c>
      <c r="P454" t="s">
        <v>47</v>
      </c>
      <c r="Q454">
        <v>1</v>
      </c>
      <c r="W454">
        <v>0</v>
      </c>
      <c r="X454">
        <v>-1884050412</v>
      </c>
      <c r="Y454">
        <f t="shared" si="191"/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1</v>
      </c>
      <c r="AJ454">
        <v>1</v>
      </c>
      <c r="AK454">
        <v>1</v>
      </c>
      <c r="AL454">
        <v>1</v>
      </c>
      <c r="AM454">
        <v>0</v>
      </c>
      <c r="AN454">
        <v>1</v>
      </c>
      <c r="AO454">
        <v>0</v>
      </c>
      <c r="AP454">
        <v>1</v>
      </c>
      <c r="AQ454">
        <v>0</v>
      </c>
      <c r="AR454">
        <v>0</v>
      </c>
      <c r="AS454" t="s">
        <v>3</v>
      </c>
      <c r="AT454">
        <v>0</v>
      </c>
      <c r="AU454" t="s">
        <v>3</v>
      </c>
      <c r="AV454">
        <v>0</v>
      </c>
      <c r="AW454">
        <v>2</v>
      </c>
      <c r="AX454">
        <v>94802748</v>
      </c>
      <c r="AY454">
        <v>1</v>
      </c>
      <c r="AZ454">
        <v>0</v>
      </c>
      <c r="BA454">
        <v>454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V454">
        <v>0</v>
      </c>
      <c r="CW454">
        <v>0</v>
      </c>
      <c r="CX454">
        <f>ROUND(Y454*Source!I484,9)</f>
        <v>0</v>
      </c>
      <c r="CY454">
        <f t="shared" si="204"/>
        <v>0</v>
      </c>
      <c r="CZ454">
        <f t="shared" si="205"/>
        <v>0</v>
      </c>
      <c r="DA454">
        <f t="shared" si="206"/>
        <v>1</v>
      </c>
      <c r="DB454">
        <f t="shared" si="192"/>
        <v>0</v>
      </c>
      <c r="DC454">
        <f t="shared" si="193"/>
        <v>0</v>
      </c>
      <c r="DD454" t="s">
        <v>3</v>
      </c>
      <c r="DE454" t="s">
        <v>3</v>
      </c>
      <c r="DF454">
        <f>ROUND(ROUND(AE454,2)*CX454,2)</f>
        <v>0</v>
      </c>
      <c r="DG454">
        <f t="shared" si="207"/>
        <v>0</v>
      </c>
      <c r="DH454">
        <f t="shared" si="208"/>
        <v>0</v>
      </c>
      <c r="DI454">
        <f t="shared" si="203"/>
        <v>0</v>
      </c>
      <c r="DJ454">
        <f t="shared" si="209"/>
        <v>0</v>
      </c>
      <c r="DK454">
        <v>0</v>
      </c>
      <c r="DL454" t="s">
        <v>3</v>
      </c>
      <c r="DM454">
        <v>0</v>
      </c>
      <c r="DN454" t="s">
        <v>3</v>
      </c>
      <c r="DO454">
        <v>0</v>
      </c>
    </row>
    <row r="455" spans="1:119" x14ac:dyDescent="0.2">
      <c r="A455">
        <f>ROW(Source!A484)</f>
        <v>484</v>
      </c>
      <c r="B455">
        <v>94798619</v>
      </c>
      <c r="C455">
        <v>94802738</v>
      </c>
      <c r="D455">
        <v>37750145</v>
      </c>
      <c r="E455">
        <v>1</v>
      </c>
      <c r="F455">
        <v>1</v>
      </c>
      <c r="G455">
        <v>1</v>
      </c>
      <c r="H455">
        <v>3</v>
      </c>
      <c r="I455" t="s">
        <v>578</v>
      </c>
      <c r="J455" t="s">
        <v>580</v>
      </c>
      <c r="K455" t="s">
        <v>579</v>
      </c>
      <c r="L455">
        <v>1348</v>
      </c>
      <c r="N455">
        <v>1009</v>
      </c>
      <c r="O455" t="s">
        <v>170</v>
      </c>
      <c r="P455" t="s">
        <v>170</v>
      </c>
      <c r="Q455">
        <v>1000</v>
      </c>
      <c r="W455">
        <v>0</v>
      </c>
      <c r="X455">
        <v>-1190477650</v>
      </c>
      <c r="Y455">
        <f t="shared" si="191"/>
        <v>0</v>
      </c>
      <c r="AA455">
        <v>128934.13</v>
      </c>
      <c r="AB455">
        <v>0</v>
      </c>
      <c r="AC455">
        <v>0</v>
      </c>
      <c r="AD455">
        <v>0</v>
      </c>
      <c r="AE455">
        <v>7571</v>
      </c>
      <c r="AF455">
        <v>0</v>
      </c>
      <c r="AG455">
        <v>0</v>
      </c>
      <c r="AH455">
        <v>0</v>
      </c>
      <c r="AI455">
        <v>17.03</v>
      </c>
      <c r="AJ455">
        <v>1</v>
      </c>
      <c r="AK455">
        <v>1</v>
      </c>
      <c r="AL455">
        <v>1</v>
      </c>
      <c r="AM455">
        <v>0</v>
      </c>
      <c r="AN455">
        <v>1</v>
      </c>
      <c r="AO455">
        <v>0</v>
      </c>
      <c r="AP455">
        <v>1</v>
      </c>
      <c r="AQ455">
        <v>0</v>
      </c>
      <c r="AR455">
        <v>0</v>
      </c>
      <c r="AS455" t="s">
        <v>3</v>
      </c>
      <c r="AT455">
        <v>0</v>
      </c>
      <c r="AU455" t="s">
        <v>3</v>
      </c>
      <c r="AV455">
        <v>0</v>
      </c>
      <c r="AW455">
        <v>2</v>
      </c>
      <c r="AX455">
        <v>94802749</v>
      </c>
      <c r="AY455">
        <v>1</v>
      </c>
      <c r="AZ455">
        <v>0</v>
      </c>
      <c r="BA455">
        <v>455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V455">
        <v>0</v>
      </c>
      <c r="CW455">
        <v>0</v>
      </c>
      <c r="CX455">
        <f>ROUND(Y455*Source!I484,9)</f>
        <v>0</v>
      </c>
      <c r="CY455">
        <f t="shared" si="204"/>
        <v>128934.13</v>
      </c>
      <c r="CZ455">
        <f t="shared" si="205"/>
        <v>7571</v>
      </c>
      <c r="DA455">
        <f t="shared" si="206"/>
        <v>17.03</v>
      </c>
      <c r="DB455">
        <f t="shared" si="192"/>
        <v>0</v>
      </c>
      <c r="DC455">
        <f t="shared" si="193"/>
        <v>0</v>
      </c>
      <c r="DD455" t="s">
        <v>3</v>
      </c>
      <c r="DE455" t="s">
        <v>3</v>
      </c>
      <c r="DF455">
        <f t="shared" ref="DF455:DF461" si="210">ROUND(ROUND(AE455*AI455,2)*CX455,2)</f>
        <v>0</v>
      </c>
      <c r="DG455">
        <f t="shared" si="207"/>
        <v>0</v>
      </c>
      <c r="DH455">
        <f t="shared" si="208"/>
        <v>0</v>
      </c>
      <c r="DI455">
        <f t="shared" si="203"/>
        <v>0</v>
      </c>
      <c r="DJ455">
        <f t="shared" si="209"/>
        <v>0</v>
      </c>
      <c r="DK455">
        <v>0</v>
      </c>
      <c r="DL455" t="s">
        <v>3</v>
      </c>
      <c r="DM455">
        <v>0</v>
      </c>
      <c r="DN455" t="s">
        <v>3</v>
      </c>
      <c r="DO455">
        <v>0</v>
      </c>
    </row>
    <row r="456" spans="1:119" x14ac:dyDescent="0.2">
      <c r="A456">
        <f>ROW(Source!A484)</f>
        <v>484</v>
      </c>
      <c r="B456">
        <v>94798619</v>
      </c>
      <c r="C456">
        <v>94802738</v>
      </c>
      <c r="D456">
        <v>37767813</v>
      </c>
      <c r="E456">
        <v>1</v>
      </c>
      <c r="F456">
        <v>1</v>
      </c>
      <c r="G456">
        <v>1</v>
      </c>
      <c r="H456">
        <v>3</v>
      </c>
      <c r="I456" t="s">
        <v>1110</v>
      </c>
      <c r="J456" t="s">
        <v>1111</v>
      </c>
      <c r="K456" t="s">
        <v>1112</v>
      </c>
      <c r="L456">
        <v>1339</v>
      </c>
      <c r="N456">
        <v>1007</v>
      </c>
      <c r="O456" t="s">
        <v>52</v>
      </c>
      <c r="P456" t="s">
        <v>52</v>
      </c>
      <c r="Q456">
        <v>1</v>
      </c>
      <c r="W456">
        <v>0</v>
      </c>
      <c r="X456">
        <v>-980753548</v>
      </c>
      <c r="Y456">
        <f t="shared" si="191"/>
        <v>5.2</v>
      </c>
      <c r="AA456">
        <v>6437.2</v>
      </c>
      <c r="AB456">
        <v>0</v>
      </c>
      <c r="AC456">
        <v>0</v>
      </c>
      <c r="AD456">
        <v>0</v>
      </c>
      <c r="AE456">
        <v>616</v>
      </c>
      <c r="AF456">
        <v>0</v>
      </c>
      <c r="AG456">
        <v>0</v>
      </c>
      <c r="AH456">
        <v>0</v>
      </c>
      <c r="AI456">
        <v>10.45</v>
      </c>
      <c r="AJ456">
        <v>1</v>
      </c>
      <c r="AK456">
        <v>1</v>
      </c>
      <c r="AL456">
        <v>1</v>
      </c>
      <c r="AM456">
        <v>2</v>
      </c>
      <c r="AN456">
        <v>0</v>
      </c>
      <c r="AO456">
        <v>1</v>
      </c>
      <c r="AP456">
        <v>1</v>
      </c>
      <c r="AQ456">
        <v>0</v>
      </c>
      <c r="AR456">
        <v>0</v>
      </c>
      <c r="AS456" t="s">
        <v>3</v>
      </c>
      <c r="AT456">
        <v>5.2</v>
      </c>
      <c r="AU456" t="s">
        <v>3</v>
      </c>
      <c r="AV456">
        <v>0</v>
      </c>
      <c r="AW456">
        <v>2</v>
      </c>
      <c r="AX456">
        <v>94802750</v>
      </c>
      <c r="AY456">
        <v>1</v>
      </c>
      <c r="AZ456">
        <v>0</v>
      </c>
      <c r="BA456">
        <v>456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V456">
        <v>0</v>
      </c>
      <c r="CW456">
        <v>0</v>
      </c>
      <c r="CX456">
        <f>ROUND(Y456*Source!I484,9)</f>
        <v>0.21840000000000001</v>
      </c>
      <c r="CY456">
        <f t="shared" si="204"/>
        <v>6437.2</v>
      </c>
      <c r="CZ456">
        <f t="shared" si="205"/>
        <v>616</v>
      </c>
      <c r="DA456">
        <f t="shared" si="206"/>
        <v>10.45</v>
      </c>
      <c r="DB456">
        <f t="shared" si="192"/>
        <v>3203.2</v>
      </c>
      <c r="DC456">
        <f t="shared" si="193"/>
        <v>0</v>
      </c>
      <c r="DD456" t="s">
        <v>3</v>
      </c>
      <c r="DE456" t="s">
        <v>3</v>
      </c>
      <c r="DF456">
        <f t="shared" si="210"/>
        <v>1405.88</v>
      </c>
      <c r="DG456">
        <f t="shared" si="207"/>
        <v>0</v>
      </c>
      <c r="DH456">
        <f t="shared" si="208"/>
        <v>0</v>
      </c>
      <c r="DI456">
        <f t="shared" si="203"/>
        <v>0</v>
      </c>
      <c r="DJ456">
        <f t="shared" si="209"/>
        <v>1405.88</v>
      </c>
      <c r="DK456">
        <v>0</v>
      </c>
      <c r="DL456" t="s">
        <v>3</v>
      </c>
      <c r="DM456">
        <v>0</v>
      </c>
      <c r="DN456" t="s">
        <v>3</v>
      </c>
      <c r="DO456">
        <v>0</v>
      </c>
    </row>
    <row r="457" spans="1:119" x14ac:dyDescent="0.2">
      <c r="A457">
        <f>ROW(Source!A484)</f>
        <v>484</v>
      </c>
      <c r="B457">
        <v>94798619</v>
      </c>
      <c r="C457">
        <v>94802738</v>
      </c>
      <c r="D457">
        <v>37768002</v>
      </c>
      <c r="E457">
        <v>1</v>
      </c>
      <c r="F457">
        <v>1</v>
      </c>
      <c r="G457">
        <v>1</v>
      </c>
      <c r="H457">
        <v>3</v>
      </c>
      <c r="I457" t="s">
        <v>748</v>
      </c>
      <c r="J457" t="s">
        <v>749</v>
      </c>
      <c r="K457" t="s">
        <v>750</v>
      </c>
      <c r="L457">
        <v>1339</v>
      </c>
      <c r="N457">
        <v>1007</v>
      </c>
      <c r="O457" t="s">
        <v>52</v>
      </c>
      <c r="P457" t="s">
        <v>52</v>
      </c>
      <c r="Q457">
        <v>1</v>
      </c>
      <c r="W457">
        <v>0</v>
      </c>
      <c r="X457">
        <v>1011246000</v>
      </c>
      <c r="Y457">
        <f t="shared" si="191"/>
        <v>0.82</v>
      </c>
      <c r="AA457">
        <v>4512.3999999999996</v>
      </c>
      <c r="AB457">
        <v>0</v>
      </c>
      <c r="AC457">
        <v>0</v>
      </c>
      <c r="AD457">
        <v>0</v>
      </c>
      <c r="AE457">
        <v>389</v>
      </c>
      <c r="AF457">
        <v>0</v>
      </c>
      <c r="AG457">
        <v>0</v>
      </c>
      <c r="AH457">
        <v>0</v>
      </c>
      <c r="AI457">
        <v>11.6</v>
      </c>
      <c r="AJ457">
        <v>1</v>
      </c>
      <c r="AK457">
        <v>1</v>
      </c>
      <c r="AL457">
        <v>1</v>
      </c>
      <c r="AM457">
        <v>2</v>
      </c>
      <c r="AN457">
        <v>0</v>
      </c>
      <c r="AO457">
        <v>1</v>
      </c>
      <c r="AP457">
        <v>1</v>
      </c>
      <c r="AQ457">
        <v>0</v>
      </c>
      <c r="AR457">
        <v>0</v>
      </c>
      <c r="AS457" t="s">
        <v>3</v>
      </c>
      <c r="AT457">
        <v>0.82</v>
      </c>
      <c r="AU457" t="s">
        <v>3</v>
      </c>
      <c r="AV457">
        <v>0</v>
      </c>
      <c r="AW457">
        <v>2</v>
      </c>
      <c r="AX457">
        <v>94802751</v>
      </c>
      <c r="AY457">
        <v>1</v>
      </c>
      <c r="AZ457">
        <v>0</v>
      </c>
      <c r="BA457">
        <v>457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V457">
        <v>0</v>
      </c>
      <c r="CW457">
        <v>0</v>
      </c>
      <c r="CX457">
        <f>ROUND(Y457*Source!I484,9)</f>
        <v>3.4439999999999998E-2</v>
      </c>
      <c r="CY457">
        <f t="shared" si="204"/>
        <v>4512.3999999999996</v>
      </c>
      <c r="CZ457">
        <f t="shared" si="205"/>
        <v>389</v>
      </c>
      <c r="DA457">
        <f t="shared" si="206"/>
        <v>11.6</v>
      </c>
      <c r="DB457">
        <f t="shared" si="192"/>
        <v>318.98</v>
      </c>
      <c r="DC457">
        <f t="shared" si="193"/>
        <v>0</v>
      </c>
      <c r="DD457" t="s">
        <v>3</v>
      </c>
      <c r="DE457" t="s">
        <v>3</v>
      </c>
      <c r="DF457">
        <f t="shared" si="210"/>
        <v>155.41</v>
      </c>
      <c r="DG457">
        <f t="shared" si="207"/>
        <v>0</v>
      </c>
      <c r="DH457">
        <f t="shared" si="208"/>
        <v>0</v>
      </c>
      <c r="DI457">
        <f t="shared" si="203"/>
        <v>0</v>
      </c>
      <c r="DJ457">
        <f t="shared" si="209"/>
        <v>155.41</v>
      </c>
      <c r="DK457">
        <v>0</v>
      </c>
      <c r="DL457" t="s">
        <v>3</v>
      </c>
      <c r="DM457">
        <v>0</v>
      </c>
      <c r="DN457" t="s">
        <v>3</v>
      </c>
      <c r="DO457">
        <v>0</v>
      </c>
    </row>
    <row r="458" spans="1:119" x14ac:dyDescent="0.2">
      <c r="A458">
        <f>ROW(Source!A484)</f>
        <v>484</v>
      </c>
      <c r="B458">
        <v>94798619</v>
      </c>
      <c r="C458">
        <v>94802738</v>
      </c>
      <c r="D458">
        <v>37768087</v>
      </c>
      <c r="E458">
        <v>1</v>
      </c>
      <c r="F458">
        <v>1</v>
      </c>
      <c r="G458">
        <v>1</v>
      </c>
      <c r="H458">
        <v>3</v>
      </c>
      <c r="I458" t="s">
        <v>1113</v>
      </c>
      <c r="J458" t="s">
        <v>1114</v>
      </c>
      <c r="K458" t="s">
        <v>1115</v>
      </c>
      <c r="L458">
        <v>1339</v>
      </c>
      <c r="N458">
        <v>1007</v>
      </c>
      <c r="O458" t="s">
        <v>52</v>
      </c>
      <c r="P458" t="s">
        <v>52</v>
      </c>
      <c r="Q458">
        <v>1</v>
      </c>
      <c r="W458">
        <v>0</v>
      </c>
      <c r="X458">
        <v>-90219473</v>
      </c>
      <c r="Y458">
        <f t="shared" si="191"/>
        <v>0.12</v>
      </c>
      <c r="AA458">
        <v>3668.42</v>
      </c>
      <c r="AB458">
        <v>0</v>
      </c>
      <c r="AC458">
        <v>0</v>
      </c>
      <c r="AD458">
        <v>0</v>
      </c>
      <c r="AE458">
        <v>400.92</v>
      </c>
      <c r="AF458">
        <v>0</v>
      </c>
      <c r="AG458">
        <v>0</v>
      </c>
      <c r="AH458">
        <v>0</v>
      </c>
      <c r="AI458">
        <v>9.15</v>
      </c>
      <c r="AJ458">
        <v>1</v>
      </c>
      <c r="AK458">
        <v>1</v>
      </c>
      <c r="AL458">
        <v>1</v>
      </c>
      <c r="AM458">
        <v>2</v>
      </c>
      <c r="AN458">
        <v>0</v>
      </c>
      <c r="AO458">
        <v>1</v>
      </c>
      <c r="AP458">
        <v>1</v>
      </c>
      <c r="AQ458">
        <v>0</v>
      </c>
      <c r="AR458">
        <v>0</v>
      </c>
      <c r="AS458" t="s">
        <v>3</v>
      </c>
      <c r="AT458">
        <v>0.12</v>
      </c>
      <c r="AU458" t="s">
        <v>3</v>
      </c>
      <c r="AV458">
        <v>0</v>
      </c>
      <c r="AW458">
        <v>2</v>
      </c>
      <c r="AX458">
        <v>94802752</v>
      </c>
      <c r="AY458">
        <v>1</v>
      </c>
      <c r="AZ458">
        <v>0</v>
      </c>
      <c r="BA458">
        <v>458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V458">
        <v>0</v>
      </c>
      <c r="CW458">
        <v>0</v>
      </c>
      <c r="CX458">
        <f>ROUND(Y458*Source!I484,9)</f>
        <v>5.0400000000000002E-3</v>
      </c>
      <c r="CY458">
        <f t="shared" si="204"/>
        <v>3668.42</v>
      </c>
      <c r="CZ458">
        <f t="shared" si="205"/>
        <v>400.92</v>
      </c>
      <c r="DA458">
        <f t="shared" si="206"/>
        <v>9.15</v>
      </c>
      <c r="DB458">
        <f t="shared" si="192"/>
        <v>48.11</v>
      </c>
      <c r="DC458">
        <f t="shared" si="193"/>
        <v>0</v>
      </c>
      <c r="DD458" t="s">
        <v>3</v>
      </c>
      <c r="DE458" t="s">
        <v>3</v>
      </c>
      <c r="DF458">
        <f t="shared" si="210"/>
        <v>18.489999999999998</v>
      </c>
      <c r="DG458">
        <f t="shared" si="207"/>
        <v>0</v>
      </c>
      <c r="DH458">
        <f t="shared" si="208"/>
        <v>0</v>
      </c>
      <c r="DI458">
        <f t="shared" si="203"/>
        <v>0</v>
      </c>
      <c r="DJ458">
        <f t="shared" si="209"/>
        <v>18.489999999999998</v>
      </c>
      <c r="DK458">
        <v>0</v>
      </c>
      <c r="DL458" t="s">
        <v>3</v>
      </c>
      <c r="DM458">
        <v>0</v>
      </c>
      <c r="DN458" t="s">
        <v>3</v>
      </c>
      <c r="DO458">
        <v>0</v>
      </c>
    </row>
    <row r="459" spans="1:119" x14ac:dyDescent="0.2">
      <c r="A459">
        <f>ROW(Source!A484)</f>
        <v>484</v>
      </c>
      <c r="B459">
        <v>94798619</v>
      </c>
      <c r="C459">
        <v>94802738</v>
      </c>
      <c r="D459">
        <v>37770741</v>
      </c>
      <c r="E459">
        <v>1</v>
      </c>
      <c r="F459">
        <v>1</v>
      </c>
      <c r="G459">
        <v>1</v>
      </c>
      <c r="H459">
        <v>3</v>
      </c>
      <c r="I459" t="s">
        <v>1116</v>
      </c>
      <c r="J459" t="s">
        <v>1117</v>
      </c>
      <c r="K459" t="s">
        <v>1118</v>
      </c>
      <c r="L459">
        <v>1301</v>
      </c>
      <c r="N459">
        <v>1003</v>
      </c>
      <c r="O459" t="s">
        <v>368</v>
      </c>
      <c r="P459" t="s">
        <v>368</v>
      </c>
      <c r="Q459">
        <v>1</v>
      </c>
      <c r="W459">
        <v>0</v>
      </c>
      <c r="X459">
        <v>1117287400</v>
      </c>
      <c r="Y459">
        <f t="shared" si="191"/>
        <v>6.88</v>
      </c>
      <c r="AA459">
        <v>7743.67</v>
      </c>
      <c r="AB459">
        <v>0</v>
      </c>
      <c r="AC459">
        <v>0</v>
      </c>
      <c r="AD459">
        <v>0</v>
      </c>
      <c r="AE459">
        <v>818.57</v>
      </c>
      <c r="AF459">
        <v>0</v>
      </c>
      <c r="AG459">
        <v>0</v>
      </c>
      <c r="AH459">
        <v>0</v>
      </c>
      <c r="AI459">
        <v>9.4600000000000009</v>
      </c>
      <c r="AJ459">
        <v>1</v>
      </c>
      <c r="AK459">
        <v>1</v>
      </c>
      <c r="AL459">
        <v>1</v>
      </c>
      <c r="AM459">
        <v>2</v>
      </c>
      <c r="AN459">
        <v>0</v>
      </c>
      <c r="AO459">
        <v>1</v>
      </c>
      <c r="AP459">
        <v>1</v>
      </c>
      <c r="AQ459">
        <v>0</v>
      </c>
      <c r="AR459">
        <v>0</v>
      </c>
      <c r="AS459" t="s">
        <v>3</v>
      </c>
      <c r="AT459">
        <v>6.88</v>
      </c>
      <c r="AU459" t="s">
        <v>3</v>
      </c>
      <c r="AV459">
        <v>0</v>
      </c>
      <c r="AW459">
        <v>2</v>
      </c>
      <c r="AX459">
        <v>94802753</v>
      </c>
      <c r="AY459">
        <v>1</v>
      </c>
      <c r="AZ459">
        <v>0</v>
      </c>
      <c r="BA459">
        <v>459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V459">
        <v>0</v>
      </c>
      <c r="CW459">
        <v>0</v>
      </c>
      <c r="CX459">
        <f>ROUND(Y459*Source!I484,9)</f>
        <v>0.28895999999999999</v>
      </c>
      <c r="CY459">
        <f t="shared" si="204"/>
        <v>7743.67</v>
      </c>
      <c r="CZ459">
        <f t="shared" si="205"/>
        <v>818.57</v>
      </c>
      <c r="DA459">
        <f t="shared" si="206"/>
        <v>9.4600000000000009</v>
      </c>
      <c r="DB459">
        <f t="shared" si="192"/>
        <v>5631.76</v>
      </c>
      <c r="DC459">
        <f t="shared" si="193"/>
        <v>0</v>
      </c>
      <c r="DD459" t="s">
        <v>3</v>
      </c>
      <c r="DE459" t="s">
        <v>3</v>
      </c>
      <c r="DF459">
        <f t="shared" si="210"/>
        <v>2237.61</v>
      </c>
      <c r="DG459">
        <f t="shared" si="207"/>
        <v>0</v>
      </c>
      <c r="DH459">
        <f t="shared" si="208"/>
        <v>0</v>
      </c>
      <c r="DI459">
        <f t="shared" si="203"/>
        <v>0</v>
      </c>
      <c r="DJ459">
        <f t="shared" si="209"/>
        <v>2237.61</v>
      </c>
      <c r="DK459">
        <v>0</v>
      </c>
      <c r="DL459" t="s">
        <v>3</v>
      </c>
      <c r="DM459">
        <v>0</v>
      </c>
      <c r="DN459" t="s">
        <v>3</v>
      </c>
      <c r="DO459">
        <v>0</v>
      </c>
    </row>
    <row r="460" spans="1:119" x14ac:dyDescent="0.2">
      <c r="A460">
        <f>ROW(Source!A484)</f>
        <v>484</v>
      </c>
      <c r="B460">
        <v>94798619</v>
      </c>
      <c r="C460">
        <v>94802738</v>
      </c>
      <c r="D460">
        <v>37775160</v>
      </c>
      <c r="E460">
        <v>1</v>
      </c>
      <c r="F460">
        <v>1</v>
      </c>
      <c r="G460">
        <v>1</v>
      </c>
      <c r="H460">
        <v>3</v>
      </c>
      <c r="I460" t="s">
        <v>1119</v>
      </c>
      <c r="J460" t="s">
        <v>1120</v>
      </c>
      <c r="K460" t="s">
        <v>1121</v>
      </c>
      <c r="L460">
        <v>1339</v>
      </c>
      <c r="N460">
        <v>1007</v>
      </c>
      <c r="O460" t="s">
        <v>52</v>
      </c>
      <c r="P460" t="s">
        <v>52</v>
      </c>
      <c r="Q460">
        <v>1</v>
      </c>
      <c r="W460">
        <v>0</v>
      </c>
      <c r="X460">
        <v>1025617385</v>
      </c>
      <c r="Y460">
        <f t="shared" si="191"/>
        <v>2.06</v>
      </c>
      <c r="AA460">
        <v>22056.84</v>
      </c>
      <c r="AB460">
        <v>0</v>
      </c>
      <c r="AC460">
        <v>0</v>
      </c>
      <c r="AD460">
        <v>0</v>
      </c>
      <c r="AE460">
        <v>1571</v>
      </c>
      <c r="AF460">
        <v>0</v>
      </c>
      <c r="AG460">
        <v>0</v>
      </c>
      <c r="AH460">
        <v>0</v>
      </c>
      <c r="AI460">
        <v>14.04</v>
      </c>
      <c r="AJ460">
        <v>1</v>
      </c>
      <c r="AK460">
        <v>1</v>
      </c>
      <c r="AL460">
        <v>1</v>
      </c>
      <c r="AM460">
        <v>2</v>
      </c>
      <c r="AN460">
        <v>0</v>
      </c>
      <c r="AO460">
        <v>1</v>
      </c>
      <c r="AP460">
        <v>1</v>
      </c>
      <c r="AQ460">
        <v>0</v>
      </c>
      <c r="AR460">
        <v>0</v>
      </c>
      <c r="AS460" t="s">
        <v>3</v>
      </c>
      <c r="AT460">
        <v>2.06</v>
      </c>
      <c r="AU460" t="s">
        <v>3</v>
      </c>
      <c r="AV460">
        <v>0</v>
      </c>
      <c r="AW460">
        <v>2</v>
      </c>
      <c r="AX460">
        <v>94802754</v>
      </c>
      <c r="AY460">
        <v>1</v>
      </c>
      <c r="AZ460">
        <v>0</v>
      </c>
      <c r="BA460">
        <v>460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V460">
        <v>0</v>
      </c>
      <c r="CW460">
        <v>0</v>
      </c>
      <c r="CX460">
        <f>ROUND(Y460*Source!I484,9)</f>
        <v>8.652E-2</v>
      </c>
      <c r="CY460">
        <f t="shared" si="204"/>
        <v>22056.84</v>
      </c>
      <c r="CZ460">
        <f t="shared" si="205"/>
        <v>1571</v>
      </c>
      <c r="DA460">
        <f t="shared" si="206"/>
        <v>14.04</v>
      </c>
      <c r="DB460">
        <f t="shared" si="192"/>
        <v>3236.26</v>
      </c>
      <c r="DC460">
        <f t="shared" si="193"/>
        <v>0</v>
      </c>
      <c r="DD460" t="s">
        <v>3</v>
      </c>
      <c r="DE460" t="s">
        <v>3</v>
      </c>
      <c r="DF460">
        <f t="shared" si="210"/>
        <v>1908.36</v>
      </c>
      <c r="DG460">
        <f t="shared" si="207"/>
        <v>0</v>
      </c>
      <c r="DH460">
        <f t="shared" si="208"/>
        <v>0</v>
      </c>
      <c r="DI460">
        <f t="shared" si="203"/>
        <v>0</v>
      </c>
      <c r="DJ460">
        <f t="shared" si="209"/>
        <v>1908.36</v>
      </c>
      <c r="DK460">
        <v>0</v>
      </c>
      <c r="DL460" t="s">
        <v>3</v>
      </c>
      <c r="DM460">
        <v>0</v>
      </c>
      <c r="DN460" t="s">
        <v>3</v>
      </c>
      <c r="DO460">
        <v>0</v>
      </c>
    </row>
    <row r="461" spans="1:119" x14ac:dyDescent="0.2">
      <c r="A461">
        <f>ROW(Source!A484)</f>
        <v>484</v>
      </c>
      <c r="B461">
        <v>94798619</v>
      </c>
      <c r="C461">
        <v>94802738</v>
      </c>
      <c r="D461">
        <v>37777376</v>
      </c>
      <c r="E461">
        <v>1</v>
      </c>
      <c r="F461">
        <v>1</v>
      </c>
      <c r="G461">
        <v>1</v>
      </c>
      <c r="H461">
        <v>3</v>
      </c>
      <c r="I461" t="s">
        <v>564</v>
      </c>
      <c r="J461" t="s">
        <v>566</v>
      </c>
      <c r="K461" t="s">
        <v>565</v>
      </c>
      <c r="L461">
        <v>1339</v>
      </c>
      <c r="N461">
        <v>1007</v>
      </c>
      <c r="O461" t="s">
        <v>52</v>
      </c>
      <c r="P461" t="s">
        <v>52</v>
      </c>
      <c r="Q461">
        <v>1</v>
      </c>
      <c r="W461">
        <v>0</v>
      </c>
      <c r="X461">
        <v>-90225913</v>
      </c>
      <c r="Y461">
        <f t="shared" si="191"/>
        <v>1.45</v>
      </c>
      <c r="AA461">
        <v>975</v>
      </c>
      <c r="AB461">
        <v>0</v>
      </c>
      <c r="AC461">
        <v>0</v>
      </c>
      <c r="AD461">
        <v>0</v>
      </c>
      <c r="AE461">
        <v>65</v>
      </c>
      <c r="AF461">
        <v>0</v>
      </c>
      <c r="AG461">
        <v>0</v>
      </c>
      <c r="AH461">
        <v>0</v>
      </c>
      <c r="AI461">
        <v>15</v>
      </c>
      <c r="AJ461">
        <v>1</v>
      </c>
      <c r="AK461">
        <v>1</v>
      </c>
      <c r="AL461">
        <v>1</v>
      </c>
      <c r="AM461">
        <v>2</v>
      </c>
      <c r="AN461">
        <v>0</v>
      </c>
      <c r="AO461">
        <v>1</v>
      </c>
      <c r="AP461">
        <v>1</v>
      </c>
      <c r="AQ461">
        <v>0</v>
      </c>
      <c r="AR461">
        <v>0</v>
      </c>
      <c r="AS461" t="s">
        <v>3</v>
      </c>
      <c r="AT461">
        <v>1.45</v>
      </c>
      <c r="AU461" t="s">
        <v>3</v>
      </c>
      <c r="AV461">
        <v>0</v>
      </c>
      <c r="AW461">
        <v>2</v>
      </c>
      <c r="AX461">
        <v>94802755</v>
      </c>
      <c r="AY461">
        <v>1</v>
      </c>
      <c r="AZ461">
        <v>0</v>
      </c>
      <c r="BA461">
        <v>461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V461">
        <v>0</v>
      </c>
      <c r="CW461">
        <v>0</v>
      </c>
      <c r="CX461">
        <f>ROUND(Y461*Source!I484,9)</f>
        <v>6.0900000000000003E-2</v>
      </c>
      <c r="CY461">
        <f t="shared" si="204"/>
        <v>975</v>
      </c>
      <c r="CZ461">
        <f t="shared" si="205"/>
        <v>65</v>
      </c>
      <c r="DA461">
        <f t="shared" si="206"/>
        <v>15</v>
      </c>
      <c r="DB461">
        <f t="shared" si="192"/>
        <v>94.25</v>
      </c>
      <c r="DC461">
        <f t="shared" si="193"/>
        <v>0</v>
      </c>
      <c r="DD461" t="s">
        <v>3</v>
      </c>
      <c r="DE461" t="s">
        <v>3</v>
      </c>
      <c r="DF461">
        <f t="shared" si="210"/>
        <v>59.38</v>
      </c>
      <c r="DG461">
        <f t="shared" si="207"/>
        <v>0</v>
      </c>
      <c r="DH461">
        <f t="shared" si="208"/>
        <v>0</v>
      </c>
      <c r="DI461">
        <f t="shared" si="203"/>
        <v>0</v>
      </c>
      <c r="DJ461">
        <f t="shared" si="209"/>
        <v>59.38</v>
      </c>
      <c r="DK461">
        <v>0</v>
      </c>
      <c r="DL461" t="s">
        <v>3</v>
      </c>
      <c r="DM461">
        <v>0</v>
      </c>
      <c r="DN461" t="s">
        <v>3</v>
      </c>
      <c r="DO461">
        <v>0</v>
      </c>
    </row>
    <row r="462" spans="1:119" x14ac:dyDescent="0.2">
      <c r="A462">
        <f>ROW(Source!A489)</f>
        <v>489</v>
      </c>
      <c r="B462">
        <v>94798619</v>
      </c>
      <c r="C462">
        <v>94803391</v>
      </c>
      <c r="D462">
        <v>23134434</v>
      </c>
      <c r="E462">
        <v>1</v>
      </c>
      <c r="F462">
        <v>1</v>
      </c>
      <c r="G462">
        <v>1</v>
      </c>
      <c r="H462">
        <v>1</v>
      </c>
      <c r="I462" t="s">
        <v>1122</v>
      </c>
      <c r="J462" t="s">
        <v>3</v>
      </c>
      <c r="K462" t="s">
        <v>1123</v>
      </c>
      <c r="L462">
        <v>1369</v>
      </c>
      <c r="N462">
        <v>1013</v>
      </c>
      <c r="O462" t="s">
        <v>696</v>
      </c>
      <c r="P462" t="s">
        <v>696</v>
      </c>
      <c r="Q462">
        <v>1</v>
      </c>
      <c r="W462">
        <v>0</v>
      </c>
      <c r="X462">
        <v>-1735155240</v>
      </c>
      <c r="Y462">
        <f t="shared" si="191"/>
        <v>22.5</v>
      </c>
      <c r="AA462">
        <v>0</v>
      </c>
      <c r="AB462">
        <v>0</v>
      </c>
      <c r="AC462">
        <v>0</v>
      </c>
      <c r="AD462">
        <v>7.84</v>
      </c>
      <c r="AE462">
        <v>0</v>
      </c>
      <c r="AF462">
        <v>0</v>
      </c>
      <c r="AG462">
        <v>0</v>
      </c>
      <c r="AH462">
        <v>7.84</v>
      </c>
      <c r="AI462">
        <v>1</v>
      </c>
      <c r="AJ462">
        <v>1</v>
      </c>
      <c r="AK462">
        <v>1</v>
      </c>
      <c r="AL462">
        <v>1</v>
      </c>
      <c r="AM462">
        <v>-2</v>
      </c>
      <c r="AN462">
        <v>0</v>
      </c>
      <c r="AO462">
        <v>1</v>
      </c>
      <c r="AP462">
        <v>1</v>
      </c>
      <c r="AQ462">
        <v>0</v>
      </c>
      <c r="AR462">
        <v>0</v>
      </c>
      <c r="AS462" t="s">
        <v>3</v>
      </c>
      <c r="AT462">
        <v>22.5</v>
      </c>
      <c r="AU462" t="s">
        <v>3</v>
      </c>
      <c r="AV462">
        <v>1</v>
      </c>
      <c r="AW462">
        <v>2</v>
      </c>
      <c r="AX462">
        <v>94803392</v>
      </c>
      <c r="AY462">
        <v>1</v>
      </c>
      <c r="AZ462">
        <v>0</v>
      </c>
      <c r="BA462">
        <v>462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U462">
        <f>ROUND(AT462*Source!I489*AH462*AL462,2)</f>
        <v>148.18</v>
      </c>
      <c r="CV462">
        <f>ROUND(Y462*Source!I489,9)</f>
        <v>18.899999999999999</v>
      </c>
      <c r="CW462">
        <v>0</v>
      </c>
      <c r="CX462">
        <f>ROUND(Y462*Source!I489,9)</f>
        <v>18.899999999999999</v>
      </c>
      <c r="CY462">
        <f>AD462</f>
        <v>7.84</v>
      </c>
      <c r="CZ462">
        <f>AH462</f>
        <v>7.84</v>
      </c>
      <c r="DA462">
        <f>AL462</f>
        <v>1</v>
      </c>
      <c r="DB462">
        <f t="shared" si="192"/>
        <v>176.4</v>
      </c>
      <c r="DC462">
        <f t="shared" si="193"/>
        <v>0</v>
      </c>
      <c r="DD462" t="s">
        <v>3</v>
      </c>
      <c r="DE462" t="s">
        <v>3</v>
      </c>
      <c r="DF462">
        <f>ROUND(ROUND(AE462,2)*CX462,2)</f>
        <v>0</v>
      </c>
      <c r="DG462">
        <f t="shared" si="207"/>
        <v>0</v>
      </c>
      <c r="DH462">
        <f t="shared" si="208"/>
        <v>0</v>
      </c>
      <c r="DI462">
        <f t="shared" si="203"/>
        <v>148.18</v>
      </c>
      <c r="DJ462">
        <f>DI462</f>
        <v>148.18</v>
      </c>
      <c r="DK462">
        <v>0</v>
      </c>
      <c r="DL462" t="s">
        <v>3</v>
      </c>
      <c r="DM462">
        <v>0</v>
      </c>
      <c r="DN462" t="s">
        <v>3</v>
      </c>
      <c r="DO462">
        <v>0</v>
      </c>
    </row>
    <row r="463" spans="1:119" x14ac:dyDescent="0.2">
      <c r="A463">
        <f>ROW(Source!A489)</f>
        <v>489</v>
      </c>
      <c r="B463">
        <v>94798619</v>
      </c>
      <c r="C463">
        <v>94803391</v>
      </c>
      <c r="D463">
        <v>37804065</v>
      </c>
      <c r="E463">
        <v>1</v>
      </c>
      <c r="F463">
        <v>1</v>
      </c>
      <c r="G463">
        <v>1</v>
      </c>
      <c r="H463">
        <v>2</v>
      </c>
      <c r="I463" t="s">
        <v>797</v>
      </c>
      <c r="J463" t="s">
        <v>798</v>
      </c>
      <c r="K463" t="s">
        <v>799</v>
      </c>
      <c r="L463">
        <v>1368</v>
      </c>
      <c r="N463">
        <v>1011</v>
      </c>
      <c r="O463" t="s">
        <v>700</v>
      </c>
      <c r="P463" t="s">
        <v>700</v>
      </c>
      <c r="Q463">
        <v>1</v>
      </c>
      <c r="W463">
        <v>0</v>
      </c>
      <c r="X463">
        <v>835824343</v>
      </c>
      <c r="Y463">
        <f t="shared" si="191"/>
        <v>0.23</v>
      </c>
      <c r="AA463">
        <v>0</v>
      </c>
      <c r="AB463">
        <v>12.13</v>
      </c>
      <c r="AC463">
        <v>0</v>
      </c>
      <c r="AD463">
        <v>0</v>
      </c>
      <c r="AE463">
        <v>0</v>
      </c>
      <c r="AF463">
        <v>2.15</v>
      </c>
      <c r="AG463">
        <v>0</v>
      </c>
      <c r="AH463">
        <v>0</v>
      </c>
      <c r="AI463">
        <v>1</v>
      </c>
      <c r="AJ463">
        <v>5.64</v>
      </c>
      <c r="AK463">
        <v>35.270000000000003</v>
      </c>
      <c r="AL463">
        <v>1</v>
      </c>
      <c r="AM463">
        <v>2</v>
      </c>
      <c r="AN463">
        <v>0</v>
      </c>
      <c r="AO463">
        <v>1</v>
      </c>
      <c r="AP463">
        <v>1</v>
      </c>
      <c r="AQ463">
        <v>0</v>
      </c>
      <c r="AR463">
        <v>0</v>
      </c>
      <c r="AS463" t="s">
        <v>3</v>
      </c>
      <c r="AT463">
        <v>0.23</v>
      </c>
      <c r="AU463" t="s">
        <v>3</v>
      </c>
      <c r="AV463">
        <v>0</v>
      </c>
      <c r="AW463">
        <v>2</v>
      </c>
      <c r="AX463">
        <v>94803393</v>
      </c>
      <c r="AY463">
        <v>1</v>
      </c>
      <c r="AZ463">
        <v>0</v>
      </c>
      <c r="BA463">
        <v>463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V463">
        <v>0</v>
      </c>
      <c r="CW463">
        <f>ROUND(Y463*Source!I489*DO463,9)</f>
        <v>0</v>
      </c>
      <c r="CX463">
        <f>ROUND(Y463*Source!I489,9)</f>
        <v>0.19320000000000001</v>
      </c>
      <c r="CY463">
        <f>AB463</f>
        <v>12.13</v>
      </c>
      <c r="CZ463">
        <f>AF463</f>
        <v>2.15</v>
      </c>
      <c r="DA463">
        <f>AJ463</f>
        <v>5.64</v>
      </c>
      <c r="DB463">
        <f t="shared" si="192"/>
        <v>0.49</v>
      </c>
      <c r="DC463">
        <f t="shared" si="193"/>
        <v>0</v>
      </c>
      <c r="DD463" t="s">
        <v>3</v>
      </c>
      <c r="DE463" t="s">
        <v>3</v>
      </c>
      <c r="DF463">
        <f>ROUND(ROUND(AE463,2)*CX463,2)</f>
        <v>0</v>
      </c>
      <c r="DG463">
        <f>ROUND(ROUND(AF463*AJ463,2)*CX463,2)</f>
        <v>2.34</v>
      </c>
      <c r="DH463">
        <f>ROUND(ROUND(AG463*AK463,2)*CX463,2)</f>
        <v>0</v>
      </c>
      <c r="DI463">
        <f t="shared" si="203"/>
        <v>0</v>
      </c>
      <c r="DJ463">
        <f>DG463</f>
        <v>2.34</v>
      </c>
      <c r="DK463">
        <v>0</v>
      </c>
      <c r="DL463" t="s">
        <v>3</v>
      </c>
      <c r="DM463">
        <v>0</v>
      </c>
      <c r="DN463" t="s">
        <v>3</v>
      </c>
      <c r="DO463">
        <v>0</v>
      </c>
    </row>
    <row r="464" spans="1:119" x14ac:dyDescent="0.2">
      <c r="A464">
        <f>ROW(Source!A489)</f>
        <v>489</v>
      </c>
      <c r="B464">
        <v>94798619</v>
      </c>
      <c r="C464">
        <v>94803391</v>
      </c>
      <c r="D464">
        <v>37804153</v>
      </c>
      <c r="E464">
        <v>1</v>
      </c>
      <c r="F464">
        <v>1</v>
      </c>
      <c r="G464">
        <v>1</v>
      </c>
      <c r="H464">
        <v>2</v>
      </c>
      <c r="I464" t="s">
        <v>697</v>
      </c>
      <c r="J464" t="s">
        <v>698</v>
      </c>
      <c r="K464" t="s">
        <v>699</v>
      </c>
      <c r="L464">
        <v>1368</v>
      </c>
      <c r="N464">
        <v>1011</v>
      </c>
      <c r="O464" t="s">
        <v>700</v>
      </c>
      <c r="P464" t="s">
        <v>700</v>
      </c>
      <c r="Q464">
        <v>1</v>
      </c>
      <c r="W464">
        <v>0</v>
      </c>
      <c r="X464">
        <v>-1981470537</v>
      </c>
      <c r="Y464">
        <f t="shared" si="191"/>
        <v>0.33</v>
      </c>
      <c r="AA464">
        <v>0</v>
      </c>
      <c r="AB464">
        <v>36.200000000000003</v>
      </c>
      <c r="AC464">
        <v>0</v>
      </c>
      <c r="AD464">
        <v>0</v>
      </c>
      <c r="AE464">
        <v>0</v>
      </c>
      <c r="AF464">
        <v>5.63</v>
      </c>
      <c r="AG464">
        <v>0</v>
      </c>
      <c r="AH464">
        <v>0</v>
      </c>
      <c r="AI464">
        <v>1</v>
      </c>
      <c r="AJ464">
        <v>6.43</v>
      </c>
      <c r="AK464">
        <v>35.270000000000003</v>
      </c>
      <c r="AL464">
        <v>1</v>
      </c>
      <c r="AM464">
        <v>2</v>
      </c>
      <c r="AN464">
        <v>0</v>
      </c>
      <c r="AO464">
        <v>1</v>
      </c>
      <c r="AP464">
        <v>1</v>
      </c>
      <c r="AQ464">
        <v>0</v>
      </c>
      <c r="AR464">
        <v>0</v>
      </c>
      <c r="AS464" t="s">
        <v>3</v>
      </c>
      <c r="AT464">
        <v>0.33</v>
      </c>
      <c r="AU464" t="s">
        <v>3</v>
      </c>
      <c r="AV464">
        <v>0</v>
      </c>
      <c r="AW464">
        <v>2</v>
      </c>
      <c r="AX464">
        <v>94803394</v>
      </c>
      <c r="AY464">
        <v>1</v>
      </c>
      <c r="AZ464">
        <v>0</v>
      </c>
      <c r="BA464">
        <v>464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V464">
        <v>0</v>
      </c>
      <c r="CW464">
        <f>ROUND(Y464*Source!I489*DO464,9)</f>
        <v>0</v>
      </c>
      <c r="CX464">
        <f>ROUND(Y464*Source!I489,9)</f>
        <v>0.2772</v>
      </c>
      <c r="CY464">
        <f>AB464</f>
        <v>36.200000000000003</v>
      </c>
      <c r="CZ464">
        <f>AF464</f>
        <v>5.63</v>
      </c>
      <c r="DA464">
        <f>AJ464</f>
        <v>6.43</v>
      </c>
      <c r="DB464">
        <f t="shared" si="192"/>
        <v>1.86</v>
      </c>
      <c r="DC464">
        <f t="shared" si="193"/>
        <v>0</v>
      </c>
      <c r="DD464" t="s">
        <v>3</v>
      </c>
      <c r="DE464" t="s">
        <v>3</v>
      </c>
      <c r="DF464">
        <f>ROUND(ROUND(AE464,2)*CX464,2)</f>
        <v>0</v>
      </c>
      <c r="DG464">
        <f>ROUND(ROUND(AF464*AJ464,2)*CX464,2)</f>
        <v>10.029999999999999</v>
      </c>
      <c r="DH464">
        <f>ROUND(ROUND(AG464*AK464,2)*CX464,2)</f>
        <v>0</v>
      </c>
      <c r="DI464">
        <f t="shared" si="203"/>
        <v>0</v>
      </c>
      <c r="DJ464">
        <f>DG464</f>
        <v>10.029999999999999</v>
      </c>
      <c r="DK464">
        <v>0</v>
      </c>
      <c r="DL464" t="s">
        <v>3</v>
      </c>
      <c r="DM464">
        <v>0</v>
      </c>
      <c r="DN464" t="s">
        <v>3</v>
      </c>
      <c r="DO464">
        <v>0</v>
      </c>
    </row>
    <row r="465" spans="1:119" x14ac:dyDescent="0.2">
      <c r="A465">
        <f>ROW(Source!A489)</f>
        <v>489</v>
      </c>
      <c r="B465">
        <v>94798619</v>
      </c>
      <c r="C465">
        <v>94803391</v>
      </c>
      <c r="D465">
        <v>37804456</v>
      </c>
      <c r="E465">
        <v>1</v>
      </c>
      <c r="F465">
        <v>1</v>
      </c>
      <c r="G465">
        <v>1</v>
      </c>
      <c r="H465">
        <v>2</v>
      </c>
      <c r="I465" t="s">
        <v>713</v>
      </c>
      <c r="J465" t="s">
        <v>714</v>
      </c>
      <c r="K465" t="s">
        <v>715</v>
      </c>
      <c r="L465">
        <v>1368</v>
      </c>
      <c r="N465">
        <v>1011</v>
      </c>
      <c r="O465" t="s">
        <v>700</v>
      </c>
      <c r="P465" t="s">
        <v>700</v>
      </c>
      <c r="Q465">
        <v>1</v>
      </c>
      <c r="W465">
        <v>0</v>
      </c>
      <c r="X465">
        <v>-671646184</v>
      </c>
      <c r="Y465">
        <f t="shared" si="191"/>
        <v>0.36</v>
      </c>
      <c r="AA465">
        <v>0</v>
      </c>
      <c r="AB465">
        <v>1305.74</v>
      </c>
      <c r="AC465">
        <v>365.04</v>
      </c>
      <c r="AD465">
        <v>0</v>
      </c>
      <c r="AE465">
        <v>0</v>
      </c>
      <c r="AF465">
        <v>91.76</v>
      </c>
      <c r="AG465">
        <v>10.35</v>
      </c>
      <c r="AH465">
        <v>0</v>
      </c>
      <c r="AI465">
        <v>1</v>
      </c>
      <c r="AJ465">
        <v>14.23</v>
      </c>
      <c r="AK465">
        <v>35.270000000000003</v>
      </c>
      <c r="AL465">
        <v>1</v>
      </c>
      <c r="AM465">
        <v>2</v>
      </c>
      <c r="AN465">
        <v>0</v>
      </c>
      <c r="AO465">
        <v>1</v>
      </c>
      <c r="AP465">
        <v>1</v>
      </c>
      <c r="AQ465">
        <v>0</v>
      </c>
      <c r="AR465">
        <v>0</v>
      </c>
      <c r="AS465" t="s">
        <v>3</v>
      </c>
      <c r="AT465">
        <v>0.36</v>
      </c>
      <c r="AU465" t="s">
        <v>3</v>
      </c>
      <c r="AV465">
        <v>0</v>
      </c>
      <c r="AW465">
        <v>2</v>
      </c>
      <c r="AX465">
        <v>94803395</v>
      </c>
      <c r="AY465">
        <v>1</v>
      </c>
      <c r="AZ465">
        <v>0</v>
      </c>
      <c r="BA465">
        <v>465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V465">
        <v>0</v>
      </c>
      <c r="CW465">
        <f>ROUND(Y465*Source!I489*DO465,9)</f>
        <v>0</v>
      </c>
      <c r="CX465">
        <f>ROUND(Y465*Source!I489,9)</f>
        <v>0.3024</v>
      </c>
      <c r="CY465">
        <f>AB465</f>
        <v>1305.74</v>
      </c>
      <c r="CZ465">
        <f>AF465</f>
        <v>91.76</v>
      </c>
      <c r="DA465">
        <f>AJ465</f>
        <v>14.23</v>
      </c>
      <c r="DB465">
        <f t="shared" si="192"/>
        <v>33.03</v>
      </c>
      <c r="DC465">
        <f t="shared" si="193"/>
        <v>3.73</v>
      </c>
      <c r="DD465" t="s">
        <v>3</v>
      </c>
      <c r="DE465" t="s">
        <v>3</v>
      </c>
      <c r="DF465">
        <f>ROUND(ROUND(AE465,2)*CX465,2)</f>
        <v>0</v>
      </c>
      <c r="DG465">
        <f>ROUND(ROUND(AF465*AJ465,2)*CX465,2)</f>
        <v>394.86</v>
      </c>
      <c r="DH465">
        <f>ROUND(ROUND(AG465*AK465,2)*CX465,2)</f>
        <v>110.39</v>
      </c>
      <c r="DI465">
        <f t="shared" si="203"/>
        <v>0</v>
      </c>
      <c r="DJ465">
        <f>DG465</f>
        <v>394.86</v>
      </c>
      <c r="DK465">
        <v>0</v>
      </c>
      <c r="DL465" t="s">
        <v>3</v>
      </c>
      <c r="DM465">
        <v>0</v>
      </c>
      <c r="DN465" t="s">
        <v>3</v>
      </c>
      <c r="DO465">
        <v>0</v>
      </c>
    </row>
    <row r="466" spans="1:119" x14ac:dyDescent="0.2">
      <c r="A466">
        <f>ROW(Source!A489)</f>
        <v>489</v>
      </c>
      <c r="B466">
        <v>94798619</v>
      </c>
      <c r="C466">
        <v>94803391</v>
      </c>
      <c r="D466">
        <v>37735406</v>
      </c>
      <c r="E466">
        <v>1</v>
      </c>
      <c r="F466">
        <v>1</v>
      </c>
      <c r="G466">
        <v>1</v>
      </c>
      <c r="H466">
        <v>3</v>
      </c>
      <c r="I466" t="s">
        <v>1124</v>
      </c>
      <c r="J466" t="s">
        <v>1125</v>
      </c>
      <c r="K466" t="s">
        <v>1126</v>
      </c>
      <c r="L466">
        <v>1348</v>
      </c>
      <c r="N466">
        <v>1009</v>
      </c>
      <c r="O466" t="s">
        <v>170</v>
      </c>
      <c r="P466" t="s">
        <v>170</v>
      </c>
      <c r="Q466">
        <v>1000</v>
      </c>
      <c r="W466">
        <v>0</v>
      </c>
      <c r="X466">
        <v>597897222</v>
      </c>
      <c r="Y466">
        <f t="shared" si="191"/>
        <v>3.0999999999999999E-3</v>
      </c>
      <c r="AA466">
        <v>60069.67</v>
      </c>
      <c r="AB466">
        <v>0</v>
      </c>
      <c r="AC466">
        <v>0</v>
      </c>
      <c r="AD466">
        <v>0</v>
      </c>
      <c r="AE466">
        <v>5989</v>
      </c>
      <c r="AF466">
        <v>0</v>
      </c>
      <c r="AG466">
        <v>0</v>
      </c>
      <c r="AH466">
        <v>0</v>
      </c>
      <c r="AI466">
        <v>10.029999999999999</v>
      </c>
      <c r="AJ466">
        <v>1</v>
      </c>
      <c r="AK466">
        <v>1</v>
      </c>
      <c r="AL466">
        <v>1</v>
      </c>
      <c r="AM466">
        <v>2</v>
      </c>
      <c r="AN466">
        <v>0</v>
      </c>
      <c r="AO466">
        <v>1</v>
      </c>
      <c r="AP466">
        <v>1</v>
      </c>
      <c r="AQ466">
        <v>0</v>
      </c>
      <c r="AR466">
        <v>0</v>
      </c>
      <c r="AS466" t="s">
        <v>3</v>
      </c>
      <c r="AT466">
        <v>3.0999999999999999E-3</v>
      </c>
      <c r="AU466" t="s">
        <v>3</v>
      </c>
      <c r="AV466">
        <v>0</v>
      </c>
      <c r="AW466">
        <v>2</v>
      </c>
      <c r="AX466">
        <v>94803396</v>
      </c>
      <c r="AY466">
        <v>1</v>
      </c>
      <c r="AZ466">
        <v>0</v>
      </c>
      <c r="BA466">
        <v>466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V466">
        <v>0</v>
      </c>
      <c r="CW466">
        <v>0</v>
      </c>
      <c r="CX466">
        <f>ROUND(Y466*Source!I489,9)</f>
        <v>2.604E-3</v>
      </c>
      <c r="CY466">
        <f t="shared" ref="CY466:CY474" si="211">AA466</f>
        <v>60069.67</v>
      </c>
      <c r="CZ466">
        <f t="shared" ref="CZ466:CZ474" si="212">AE466</f>
        <v>5989</v>
      </c>
      <c r="DA466">
        <f t="shared" ref="DA466:DA474" si="213">AI466</f>
        <v>10.029999999999999</v>
      </c>
      <c r="DB466">
        <f t="shared" si="192"/>
        <v>18.57</v>
      </c>
      <c r="DC466">
        <f t="shared" si="193"/>
        <v>0</v>
      </c>
      <c r="DD466" t="s">
        <v>3</v>
      </c>
      <c r="DE466" t="s">
        <v>3</v>
      </c>
      <c r="DF466">
        <f t="shared" ref="DF466:DF474" si="214">ROUND(ROUND(AE466*AI466,2)*CX466,2)</f>
        <v>156.41999999999999</v>
      </c>
      <c r="DG466">
        <f t="shared" ref="DG466:DG475" si="215">ROUND(ROUND(AF466,2)*CX466,2)</f>
        <v>0</v>
      </c>
      <c r="DH466">
        <f t="shared" ref="DH466:DH475" si="216">ROUND(ROUND(AG466,2)*CX466,2)</f>
        <v>0</v>
      </c>
      <c r="DI466">
        <f t="shared" si="203"/>
        <v>0</v>
      </c>
      <c r="DJ466">
        <f t="shared" ref="DJ466:DJ474" si="217">DF466</f>
        <v>156.41999999999999</v>
      </c>
      <c r="DK466">
        <v>0</v>
      </c>
      <c r="DL466" t="s">
        <v>3</v>
      </c>
      <c r="DM466">
        <v>0</v>
      </c>
      <c r="DN466" t="s">
        <v>3</v>
      </c>
      <c r="DO466">
        <v>0</v>
      </c>
    </row>
    <row r="467" spans="1:119" x14ac:dyDescent="0.2">
      <c r="A467">
        <f>ROW(Source!A489)</f>
        <v>489</v>
      </c>
      <c r="B467">
        <v>94798619</v>
      </c>
      <c r="C467">
        <v>94803391</v>
      </c>
      <c r="D467">
        <v>37734130</v>
      </c>
      <c r="E467">
        <v>1</v>
      </c>
      <c r="F467">
        <v>1</v>
      </c>
      <c r="G467">
        <v>1</v>
      </c>
      <c r="H467">
        <v>3</v>
      </c>
      <c r="I467" t="s">
        <v>1127</v>
      </c>
      <c r="J467" t="s">
        <v>1128</v>
      </c>
      <c r="K467" t="s">
        <v>1129</v>
      </c>
      <c r="L467">
        <v>1348</v>
      </c>
      <c r="N467">
        <v>1009</v>
      </c>
      <c r="O467" t="s">
        <v>170</v>
      </c>
      <c r="P467" t="s">
        <v>170</v>
      </c>
      <c r="Q467">
        <v>1000</v>
      </c>
      <c r="W467">
        <v>0</v>
      </c>
      <c r="X467">
        <v>1514578280</v>
      </c>
      <c r="Y467">
        <f t="shared" si="191"/>
        <v>2.5799999999999998E-3</v>
      </c>
      <c r="AA467">
        <v>16187.25</v>
      </c>
      <c r="AB467">
        <v>0</v>
      </c>
      <c r="AC467">
        <v>0</v>
      </c>
      <c r="AD467">
        <v>0</v>
      </c>
      <c r="AE467">
        <v>1695</v>
      </c>
      <c r="AF467">
        <v>0</v>
      </c>
      <c r="AG467">
        <v>0</v>
      </c>
      <c r="AH467">
        <v>0</v>
      </c>
      <c r="AI467">
        <v>9.5500000000000007</v>
      </c>
      <c r="AJ467">
        <v>1</v>
      </c>
      <c r="AK467">
        <v>1</v>
      </c>
      <c r="AL467">
        <v>1</v>
      </c>
      <c r="AM467">
        <v>2</v>
      </c>
      <c r="AN467">
        <v>0</v>
      </c>
      <c r="AO467">
        <v>1</v>
      </c>
      <c r="AP467">
        <v>1</v>
      </c>
      <c r="AQ467">
        <v>0</v>
      </c>
      <c r="AR467">
        <v>0</v>
      </c>
      <c r="AS467" t="s">
        <v>3</v>
      </c>
      <c r="AT467">
        <v>2.5799999999999998E-3</v>
      </c>
      <c r="AU467" t="s">
        <v>3</v>
      </c>
      <c r="AV467">
        <v>0</v>
      </c>
      <c r="AW467">
        <v>2</v>
      </c>
      <c r="AX467">
        <v>94803397</v>
      </c>
      <c r="AY467">
        <v>1</v>
      </c>
      <c r="AZ467">
        <v>0</v>
      </c>
      <c r="BA467">
        <v>467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V467">
        <v>0</v>
      </c>
      <c r="CW467">
        <v>0</v>
      </c>
      <c r="CX467">
        <f>ROUND(Y467*Source!I489,9)</f>
        <v>2.1672000000000002E-3</v>
      </c>
      <c r="CY467">
        <f t="shared" si="211"/>
        <v>16187.25</v>
      </c>
      <c r="CZ467">
        <f t="shared" si="212"/>
        <v>1695</v>
      </c>
      <c r="DA467">
        <f t="shared" si="213"/>
        <v>9.5500000000000007</v>
      </c>
      <c r="DB467">
        <f t="shared" si="192"/>
        <v>4.37</v>
      </c>
      <c r="DC467">
        <f t="shared" si="193"/>
        <v>0</v>
      </c>
      <c r="DD467" t="s">
        <v>3</v>
      </c>
      <c r="DE467" t="s">
        <v>3</v>
      </c>
      <c r="DF467">
        <f t="shared" si="214"/>
        <v>35.08</v>
      </c>
      <c r="DG467">
        <f t="shared" si="215"/>
        <v>0</v>
      </c>
      <c r="DH467">
        <f t="shared" si="216"/>
        <v>0</v>
      </c>
      <c r="DI467">
        <f t="shared" si="203"/>
        <v>0</v>
      </c>
      <c r="DJ467">
        <f t="shared" si="217"/>
        <v>35.08</v>
      </c>
      <c r="DK467">
        <v>0</v>
      </c>
      <c r="DL467" t="s">
        <v>3</v>
      </c>
      <c r="DM467">
        <v>0</v>
      </c>
      <c r="DN467" t="s">
        <v>3</v>
      </c>
      <c r="DO467">
        <v>0</v>
      </c>
    </row>
    <row r="468" spans="1:119" x14ac:dyDescent="0.2">
      <c r="A468">
        <f>ROW(Source!A489)</f>
        <v>489</v>
      </c>
      <c r="B468">
        <v>94798619</v>
      </c>
      <c r="C468">
        <v>94803391</v>
      </c>
      <c r="D468">
        <v>37736859</v>
      </c>
      <c r="E468">
        <v>1</v>
      </c>
      <c r="F468">
        <v>1</v>
      </c>
      <c r="G468">
        <v>1</v>
      </c>
      <c r="H468">
        <v>3</v>
      </c>
      <c r="I468" t="s">
        <v>252</v>
      </c>
      <c r="J468" t="s">
        <v>254</v>
      </c>
      <c r="K468" t="s">
        <v>253</v>
      </c>
      <c r="L468">
        <v>1348</v>
      </c>
      <c r="N468">
        <v>1009</v>
      </c>
      <c r="O468" t="s">
        <v>170</v>
      </c>
      <c r="P468" t="s">
        <v>170</v>
      </c>
      <c r="Q468">
        <v>1000</v>
      </c>
      <c r="W468">
        <v>0</v>
      </c>
      <c r="X468">
        <v>-384985709</v>
      </c>
      <c r="Y468">
        <f t="shared" si="191"/>
        <v>7.4999999999999997E-3</v>
      </c>
      <c r="AA468">
        <v>208824.23</v>
      </c>
      <c r="AB468">
        <v>0</v>
      </c>
      <c r="AC468">
        <v>0</v>
      </c>
      <c r="AD468">
        <v>0</v>
      </c>
      <c r="AE468">
        <v>9040.01</v>
      </c>
      <c r="AF468">
        <v>0</v>
      </c>
      <c r="AG468">
        <v>0</v>
      </c>
      <c r="AH468">
        <v>0</v>
      </c>
      <c r="AI468">
        <v>23.1</v>
      </c>
      <c r="AJ468">
        <v>1</v>
      </c>
      <c r="AK468">
        <v>1</v>
      </c>
      <c r="AL468">
        <v>1</v>
      </c>
      <c r="AM468">
        <v>2</v>
      </c>
      <c r="AN468">
        <v>0</v>
      </c>
      <c r="AO468">
        <v>1</v>
      </c>
      <c r="AP468">
        <v>1</v>
      </c>
      <c r="AQ468">
        <v>0</v>
      </c>
      <c r="AR468">
        <v>0</v>
      </c>
      <c r="AS468" t="s">
        <v>3</v>
      </c>
      <c r="AT468">
        <v>7.4999999999999997E-3</v>
      </c>
      <c r="AU468" t="s">
        <v>3</v>
      </c>
      <c r="AV468">
        <v>0</v>
      </c>
      <c r="AW468">
        <v>2</v>
      </c>
      <c r="AX468">
        <v>94803398</v>
      </c>
      <c r="AY468">
        <v>1</v>
      </c>
      <c r="AZ468">
        <v>0</v>
      </c>
      <c r="BA468">
        <v>468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V468">
        <v>0</v>
      </c>
      <c r="CW468">
        <v>0</v>
      </c>
      <c r="CX468">
        <f>ROUND(Y468*Source!I489,9)</f>
        <v>6.3E-3</v>
      </c>
      <c r="CY468">
        <f t="shared" si="211"/>
        <v>208824.23</v>
      </c>
      <c r="CZ468">
        <f t="shared" si="212"/>
        <v>9040.01</v>
      </c>
      <c r="DA468">
        <f t="shared" si="213"/>
        <v>23.1</v>
      </c>
      <c r="DB468">
        <f t="shared" si="192"/>
        <v>67.8</v>
      </c>
      <c r="DC468">
        <f t="shared" si="193"/>
        <v>0</v>
      </c>
      <c r="DD468" t="s">
        <v>3</v>
      </c>
      <c r="DE468" t="s">
        <v>3</v>
      </c>
      <c r="DF468">
        <f t="shared" si="214"/>
        <v>1315.59</v>
      </c>
      <c r="DG468">
        <f t="shared" si="215"/>
        <v>0</v>
      </c>
      <c r="DH468">
        <f t="shared" si="216"/>
        <v>0</v>
      </c>
      <c r="DI468">
        <f t="shared" si="203"/>
        <v>0</v>
      </c>
      <c r="DJ468">
        <f t="shared" si="217"/>
        <v>1315.59</v>
      </c>
      <c r="DK468">
        <v>0</v>
      </c>
      <c r="DL468" t="s">
        <v>3</v>
      </c>
      <c r="DM468">
        <v>0</v>
      </c>
      <c r="DN468" t="s">
        <v>3</v>
      </c>
      <c r="DO468">
        <v>0</v>
      </c>
    </row>
    <row r="469" spans="1:119" x14ac:dyDescent="0.2">
      <c r="A469">
        <f>ROW(Source!A489)</f>
        <v>489</v>
      </c>
      <c r="B469">
        <v>94798619</v>
      </c>
      <c r="C469">
        <v>94803391</v>
      </c>
      <c r="D469">
        <v>37731351</v>
      </c>
      <c r="E469">
        <v>1</v>
      </c>
      <c r="F469">
        <v>1</v>
      </c>
      <c r="G469">
        <v>1</v>
      </c>
      <c r="H469">
        <v>3</v>
      </c>
      <c r="I469" t="s">
        <v>1130</v>
      </c>
      <c r="J469" t="s">
        <v>1131</v>
      </c>
      <c r="K469" t="s">
        <v>1132</v>
      </c>
      <c r="L469">
        <v>1327</v>
      </c>
      <c r="N469">
        <v>1005</v>
      </c>
      <c r="O469" t="s">
        <v>201</v>
      </c>
      <c r="P469" t="s">
        <v>201</v>
      </c>
      <c r="Q469">
        <v>1</v>
      </c>
      <c r="W469">
        <v>0</v>
      </c>
      <c r="X469">
        <v>1800201589</v>
      </c>
      <c r="Y469">
        <f t="shared" si="191"/>
        <v>1.45</v>
      </c>
      <c r="AA469">
        <v>45.22</v>
      </c>
      <c r="AB469">
        <v>0</v>
      </c>
      <c r="AC469">
        <v>0</v>
      </c>
      <c r="AD469">
        <v>0</v>
      </c>
      <c r="AE469">
        <v>5.82</v>
      </c>
      <c r="AF469">
        <v>0</v>
      </c>
      <c r="AG469">
        <v>0</v>
      </c>
      <c r="AH469">
        <v>0</v>
      </c>
      <c r="AI469">
        <v>7.77</v>
      </c>
      <c r="AJ469">
        <v>1</v>
      </c>
      <c r="AK469">
        <v>1</v>
      </c>
      <c r="AL469">
        <v>1</v>
      </c>
      <c r="AM469">
        <v>2</v>
      </c>
      <c r="AN469">
        <v>0</v>
      </c>
      <c r="AO469">
        <v>1</v>
      </c>
      <c r="AP469">
        <v>1</v>
      </c>
      <c r="AQ469">
        <v>0</v>
      </c>
      <c r="AR469">
        <v>0</v>
      </c>
      <c r="AS469" t="s">
        <v>3</v>
      </c>
      <c r="AT469">
        <v>1.45</v>
      </c>
      <c r="AU469" t="s">
        <v>3</v>
      </c>
      <c r="AV469">
        <v>0</v>
      </c>
      <c r="AW469">
        <v>2</v>
      </c>
      <c r="AX469">
        <v>94803399</v>
      </c>
      <c r="AY469">
        <v>1</v>
      </c>
      <c r="AZ469">
        <v>0</v>
      </c>
      <c r="BA469">
        <v>469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V469">
        <v>0</v>
      </c>
      <c r="CW469">
        <v>0</v>
      </c>
      <c r="CX469">
        <f>ROUND(Y469*Source!I489,9)</f>
        <v>1.218</v>
      </c>
      <c r="CY469">
        <f t="shared" si="211"/>
        <v>45.22</v>
      </c>
      <c r="CZ469">
        <f t="shared" si="212"/>
        <v>5.82</v>
      </c>
      <c r="DA469">
        <f t="shared" si="213"/>
        <v>7.77</v>
      </c>
      <c r="DB469">
        <f t="shared" si="192"/>
        <v>8.44</v>
      </c>
      <c r="DC469">
        <f t="shared" si="193"/>
        <v>0</v>
      </c>
      <c r="DD469" t="s">
        <v>3</v>
      </c>
      <c r="DE469" t="s">
        <v>3</v>
      </c>
      <c r="DF469">
        <f t="shared" si="214"/>
        <v>55.08</v>
      </c>
      <c r="DG469">
        <f t="shared" si="215"/>
        <v>0</v>
      </c>
      <c r="DH469">
        <f t="shared" si="216"/>
        <v>0</v>
      </c>
      <c r="DI469">
        <f t="shared" si="203"/>
        <v>0</v>
      </c>
      <c r="DJ469">
        <f t="shared" si="217"/>
        <v>55.08</v>
      </c>
      <c r="DK469">
        <v>0</v>
      </c>
      <c r="DL469" t="s">
        <v>3</v>
      </c>
      <c r="DM469">
        <v>0</v>
      </c>
      <c r="DN469" t="s">
        <v>3</v>
      </c>
      <c r="DO469">
        <v>0</v>
      </c>
    </row>
    <row r="470" spans="1:119" x14ac:dyDescent="0.2">
      <c r="A470">
        <f>ROW(Source!A489)</f>
        <v>489</v>
      </c>
      <c r="B470">
        <v>94798619</v>
      </c>
      <c r="C470">
        <v>94803391</v>
      </c>
      <c r="D470">
        <v>37736933</v>
      </c>
      <c r="E470">
        <v>1</v>
      </c>
      <c r="F470">
        <v>1</v>
      </c>
      <c r="G470">
        <v>1</v>
      </c>
      <c r="H470">
        <v>3</v>
      </c>
      <c r="I470" t="s">
        <v>851</v>
      </c>
      <c r="J470" t="s">
        <v>852</v>
      </c>
      <c r="K470" t="s">
        <v>853</v>
      </c>
      <c r="L470">
        <v>1348</v>
      </c>
      <c r="N470">
        <v>1009</v>
      </c>
      <c r="O470" t="s">
        <v>170</v>
      </c>
      <c r="P470" t="s">
        <v>170</v>
      </c>
      <c r="Q470">
        <v>1000</v>
      </c>
      <c r="W470">
        <v>0</v>
      </c>
      <c r="X470">
        <v>-667930777</v>
      </c>
      <c r="Y470">
        <f t="shared" si="191"/>
        <v>3.0000000000000001E-3</v>
      </c>
      <c r="AA470">
        <v>111120.24</v>
      </c>
      <c r="AB470">
        <v>0</v>
      </c>
      <c r="AC470">
        <v>0</v>
      </c>
      <c r="AD470">
        <v>0</v>
      </c>
      <c r="AE470">
        <v>12936</v>
      </c>
      <c r="AF470">
        <v>0</v>
      </c>
      <c r="AG470">
        <v>0</v>
      </c>
      <c r="AH470">
        <v>0</v>
      </c>
      <c r="AI470">
        <v>8.59</v>
      </c>
      <c r="AJ470">
        <v>1</v>
      </c>
      <c r="AK470">
        <v>1</v>
      </c>
      <c r="AL470">
        <v>1</v>
      </c>
      <c r="AM470">
        <v>2</v>
      </c>
      <c r="AN470">
        <v>0</v>
      </c>
      <c r="AO470">
        <v>1</v>
      </c>
      <c r="AP470">
        <v>1</v>
      </c>
      <c r="AQ470">
        <v>0</v>
      </c>
      <c r="AR470">
        <v>0</v>
      </c>
      <c r="AS470" t="s">
        <v>3</v>
      </c>
      <c r="AT470">
        <v>3.0000000000000001E-3</v>
      </c>
      <c r="AU470" t="s">
        <v>3</v>
      </c>
      <c r="AV470">
        <v>0</v>
      </c>
      <c r="AW470">
        <v>2</v>
      </c>
      <c r="AX470">
        <v>94803400</v>
      </c>
      <c r="AY470">
        <v>1</v>
      </c>
      <c r="AZ470">
        <v>0</v>
      </c>
      <c r="BA470">
        <v>470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V470">
        <v>0</v>
      </c>
      <c r="CW470">
        <v>0</v>
      </c>
      <c r="CX470">
        <f>ROUND(Y470*Source!I489,9)</f>
        <v>2.5200000000000001E-3</v>
      </c>
      <c r="CY470">
        <f t="shared" si="211"/>
        <v>111120.24</v>
      </c>
      <c r="CZ470">
        <f t="shared" si="212"/>
        <v>12936</v>
      </c>
      <c r="DA470">
        <f t="shared" si="213"/>
        <v>8.59</v>
      </c>
      <c r="DB470">
        <f t="shared" si="192"/>
        <v>38.81</v>
      </c>
      <c r="DC470">
        <f t="shared" si="193"/>
        <v>0</v>
      </c>
      <c r="DD470" t="s">
        <v>3</v>
      </c>
      <c r="DE470" t="s">
        <v>3</v>
      </c>
      <c r="DF470">
        <f t="shared" si="214"/>
        <v>280.02</v>
      </c>
      <c r="DG470">
        <f t="shared" si="215"/>
        <v>0</v>
      </c>
      <c r="DH470">
        <f t="shared" si="216"/>
        <v>0</v>
      </c>
      <c r="DI470">
        <f t="shared" si="203"/>
        <v>0</v>
      </c>
      <c r="DJ470">
        <f t="shared" si="217"/>
        <v>280.02</v>
      </c>
      <c r="DK470">
        <v>0</v>
      </c>
      <c r="DL470" t="s">
        <v>3</v>
      </c>
      <c r="DM470">
        <v>0</v>
      </c>
      <c r="DN470" t="s">
        <v>3</v>
      </c>
      <c r="DO470">
        <v>0</v>
      </c>
    </row>
    <row r="471" spans="1:119" x14ac:dyDescent="0.2">
      <c r="A471">
        <f>ROW(Source!A489)</f>
        <v>489</v>
      </c>
      <c r="B471">
        <v>94798619</v>
      </c>
      <c r="C471">
        <v>94803391</v>
      </c>
      <c r="D471">
        <v>37738052</v>
      </c>
      <c r="E471">
        <v>1</v>
      </c>
      <c r="F471">
        <v>1</v>
      </c>
      <c r="G471">
        <v>1</v>
      </c>
      <c r="H471">
        <v>3</v>
      </c>
      <c r="I471" t="s">
        <v>1133</v>
      </c>
      <c r="J471" t="s">
        <v>1134</v>
      </c>
      <c r="K471" t="s">
        <v>1135</v>
      </c>
      <c r="L471">
        <v>1339</v>
      </c>
      <c r="N471">
        <v>1007</v>
      </c>
      <c r="O471" t="s">
        <v>52</v>
      </c>
      <c r="P471" t="s">
        <v>52</v>
      </c>
      <c r="Q471">
        <v>1</v>
      </c>
      <c r="W471">
        <v>0</v>
      </c>
      <c r="X471">
        <v>-567940266</v>
      </c>
      <c r="Y471">
        <f t="shared" si="191"/>
        <v>0.93</v>
      </c>
      <c r="AA471">
        <v>18563.759999999998</v>
      </c>
      <c r="AB471">
        <v>0</v>
      </c>
      <c r="AC471">
        <v>0</v>
      </c>
      <c r="AD471">
        <v>0</v>
      </c>
      <c r="AE471">
        <v>1656</v>
      </c>
      <c r="AF471">
        <v>0</v>
      </c>
      <c r="AG471">
        <v>0</v>
      </c>
      <c r="AH471">
        <v>0</v>
      </c>
      <c r="AI471">
        <v>11.21</v>
      </c>
      <c r="AJ471">
        <v>1</v>
      </c>
      <c r="AK471">
        <v>1</v>
      </c>
      <c r="AL471">
        <v>1</v>
      </c>
      <c r="AM471">
        <v>2</v>
      </c>
      <c r="AN471">
        <v>0</v>
      </c>
      <c r="AO471">
        <v>1</v>
      </c>
      <c r="AP471">
        <v>1</v>
      </c>
      <c r="AQ471">
        <v>0</v>
      </c>
      <c r="AR471">
        <v>0</v>
      </c>
      <c r="AS471" t="s">
        <v>3</v>
      </c>
      <c r="AT471">
        <v>0.93</v>
      </c>
      <c r="AU471" t="s">
        <v>3</v>
      </c>
      <c r="AV471">
        <v>0</v>
      </c>
      <c r="AW471">
        <v>2</v>
      </c>
      <c r="AX471">
        <v>94803401</v>
      </c>
      <c r="AY471">
        <v>1</v>
      </c>
      <c r="AZ471">
        <v>0</v>
      </c>
      <c r="BA471">
        <v>471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V471">
        <v>0</v>
      </c>
      <c r="CW471">
        <v>0</v>
      </c>
      <c r="CX471">
        <f>ROUND(Y471*Source!I489,9)</f>
        <v>0.78120000000000001</v>
      </c>
      <c r="CY471">
        <f t="shared" si="211"/>
        <v>18563.759999999998</v>
      </c>
      <c r="CZ471">
        <f t="shared" si="212"/>
        <v>1656</v>
      </c>
      <c r="DA471">
        <f t="shared" si="213"/>
        <v>11.21</v>
      </c>
      <c r="DB471">
        <f t="shared" si="192"/>
        <v>1540.08</v>
      </c>
      <c r="DC471">
        <f t="shared" si="193"/>
        <v>0</v>
      </c>
      <c r="DD471" t="s">
        <v>3</v>
      </c>
      <c r="DE471" t="s">
        <v>3</v>
      </c>
      <c r="DF471">
        <f t="shared" si="214"/>
        <v>14502.01</v>
      </c>
      <c r="DG471">
        <f t="shared" si="215"/>
        <v>0</v>
      </c>
      <c r="DH471">
        <f t="shared" si="216"/>
        <v>0</v>
      </c>
      <c r="DI471">
        <f t="shared" si="203"/>
        <v>0</v>
      </c>
      <c r="DJ471">
        <f t="shared" si="217"/>
        <v>14502.01</v>
      </c>
      <c r="DK471">
        <v>0</v>
      </c>
      <c r="DL471" t="s">
        <v>3</v>
      </c>
      <c r="DM471">
        <v>0</v>
      </c>
      <c r="DN471" t="s">
        <v>3</v>
      </c>
      <c r="DO471">
        <v>0</v>
      </c>
    </row>
    <row r="472" spans="1:119" x14ac:dyDescent="0.2">
      <c r="A472">
        <f>ROW(Source!A489)</f>
        <v>489</v>
      </c>
      <c r="B472">
        <v>94798619</v>
      </c>
      <c r="C472">
        <v>94803391</v>
      </c>
      <c r="D472">
        <v>37738212</v>
      </c>
      <c r="E472">
        <v>1</v>
      </c>
      <c r="F472">
        <v>1</v>
      </c>
      <c r="G472">
        <v>1</v>
      </c>
      <c r="H472">
        <v>3</v>
      </c>
      <c r="I472" t="s">
        <v>1136</v>
      </c>
      <c r="J472" t="s">
        <v>1137</v>
      </c>
      <c r="K472" t="s">
        <v>1138</v>
      </c>
      <c r="L472">
        <v>1339</v>
      </c>
      <c r="N472">
        <v>1007</v>
      </c>
      <c r="O472" t="s">
        <v>52</v>
      </c>
      <c r="P472" t="s">
        <v>52</v>
      </c>
      <c r="Q472">
        <v>1</v>
      </c>
      <c r="W472">
        <v>0</v>
      </c>
      <c r="X472">
        <v>1656702119</v>
      </c>
      <c r="Y472">
        <f t="shared" si="191"/>
        <v>0.12</v>
      </c>
      <c r="AA472">
        <v>18569.28</v>
      </c>
      <c r="AB472">
        <v>0</v>
      </c>
      <c r="AC472">
        <v>0</v>
      </c>
      <c r="AD472">
        <v>0</v>
      </c>
      <c r="AE472">
        <v>1104</v>
      </c>
      <c r="AF472">
        <v>0</v>
      </c>
      <c r="AG472">
        <v>0</v>
      </c>
      <c r="AH472">
        <v>0</v>
      </c>
      <c r="AI472">
        <v>16.82</v>
      </c>
      <c r="AJ472">
        <v>1</v>
      </c>
      <c r="AK472">
        <v>1</v>
      </c>
      <c r="AL472">
        <v>1</v>
      </c>
      <c r="AM472">
        <v>2</v>
      </c>
      <c r="AN472">
        <v>0</v>
      </c>
      <c r="AO472">
        <v>1</v>
      </c>
      <c r="AP472">
        <v>1</v>
      </c>
      <c r="AQ472">
        <v>0</v>
      </c>
      <c r="AR472">
        <v>0</v>
      </c>
      <c r="AS472" t="s">
        <v>3</v>
      </c>
      <c r="AT472">
        <v>0.12</v>
      </c>
      <c r="AU472" t="s">
        <v>3</v>
      </c>
      <c r="AV472">
        <v>0</v>
      </c>
      <c r="AW472">
        <v>2</v>
      </c>
      <c r="AX472">
        <v>94803402</v>
      </c>
      <c r="AY472">
        <v>1</v>
      </c>
      <c r="AZ472">
        <v>0</v>
      </c>
      <c r="BA472">
        <v>472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V472">
        <v>0</v>
      </c>
      <c r="CW472">
        <v>0</v>
      </c>
      <c r="CX472">
        <f>ROUND(Y472*Source!I489,9)</f>
        <v>0.1008</v>
      </c>
      <c r="CY472">
        <f t="shared" si="211"/>
        <v>18569.28</v>
      </c>
      <c r="CZ472">
        <f t="shared" si="212"/>
        <v>1104</v>
      </c>
      <c r="DA472">
        <f t="shared" si="213"/>
        <v>16.82</v>
      </c>
      <c r="DB472">
        <f t="shared" si="192"/>
        <v>132.47999999999999</v>
      </c>
      <c r="DC472">
        <f t="shared" si="193"/>
        <v>0</v>
      </c>
      <c r="DD472" t="s">
        <v>3</v>
      </c>
      <c r="DE472" t="s">
        <v>3</v>
      </c>
      <c r="DF472">
        <f t="shared" si="214"/>
        <v>1871.78</v>
      </c>
      <c r="DG472">
        <f t="shared" si="215"/>
        <v>0</v>
      </c>
      <c r="DH472">
        <f t="shared" si="216"/>
        <v>0</v>
      </c>
      <c r="DI472">
        <f t="shared" si="203"/>
        <v>0</v>
      </c>
      <c r="DJ472">
        <f t="shared" si="217"/>
        <v>1871.78</v>
      </c>
      <c r="DK472">
        <v>0</v>
      </c>
      <c r="DL472" t="s">
        <v>3</v>
      </c>
      <c r="DM472">
        <v>0</v>
      </c>
      <c r="DN472" t="s">
        <v>3</v>
      </c>
      <c r="DO472">
        <v>0</v>
      </c>
    </row>
    <row r="473" spans="1:119" x14ac:dyDescent="0.2">
      <c r="A473">
        <f>ROW(Source!A489)</f>
        <v>489</v>
      </c>
      <c r="B473">
        <v>94798619</v>
      </c>
      <c r="C473">
        <v>94803391</v>
      </c>
      <c r="D473">
        <v>37738130</v>
      </c>
      <c r="E473">
        <v>1</v>
      </c>
      <c r="F473">
        <v>1</v>
      </c>
      <c r="G473">
        <v>1</v>
      </c>
      <c r="H473">
        <v>3</v>
      </c>
      <c r="I473" t="s">
        <v>1139</v>
      </c>
      <c r="J473" t="s">
        <v>1140</v>
      </c>
      <c r="K473" t="s">
        <v>1141</v>
      </c>
      <c r="L473">
        <v>1339</v>
      </c>
      <c r="N473">
        <v>1007</v>
      </c>
      <c r="O473" t="s">
        <v>52</v>
      </c>
      <c r="P473" t="s">
        <v>52</v>
      </c>
      <c r="Q473">
        <v>1</v>
      </c>
      <c r="W473">
        <v>0</v>
      </c>
      <c r="X473">
        <v>-512952624</v>
      </c>
      <c r="Y473">
        <f t="shared" si="191"/>
        <v>0.01</v>
      </c>
      <c r="AA473">
        <v>8086.28</v>
      </c>
      <c r="AB473">
        <v>0</v>
      </c>
      <c r="AC473">
        <v>0</v>
      </c>
      <c r="AD473">
        <v>0</v>
      </c>
      <c r="AE473">
        <v>802.21</v>
      </c>
      <c r="AF473">
        <v>0</v>
      </c>
      <c r="AG473">
        <v>0</v>
      </c>
      <c r="AH473">
        <v>0</v>
      </c>
      <c r="AI473">
        <v>10.08</v>
      </c>
      <c r="AJ473">
        <v>1</v>
      </c>
      <c r="AK473">
        <v>1</v>
      </c>
      <c r="AL473">
        <v>1</v>
      </c>
      <c r="AM473">
        <v>2</v>
      </c>
      <c r="AN473">
        <v>0</v>
      </c>
      <c r="AO473">
        <v>1</v>
      </c>
      <c r="AP473">
        <v>1</v>
      </c>
      <c r="AQ473">
        <v>0</v>
      </c>
      <c r="AR473">
        <v>0</v>
      </c>
      <c r="AS473" t="s">
        <v>3</v>
      </c>
      <c r="AT473">
        <v>0.01</v>
      </c>
      <c r="AU473" t="s">
        <v>3</v>
      </c>
      <c r="AV473">
        <v>0</v>
      </c>
      <c r="AW473">
        <v>2</v>
      </c>
      <c r="AX473">
        <v>94803403</v>
      </c>
      <c r="AY473">
        <v>1</v>
      </c>
      <c r="AZ473">
        <v>0</v>
      </c>
      <c r="BA473">
        <v>473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V473">
        <v>0</v>
      </c>
      <c r="CW473">
        <v>0</v>
      </c>
      <c r="CX473">
        <f>ROUND(Y473*Source!I489,9)</f>
        <v>8.3999999999999995E-3</v>
      </c>
      <c r="CY473">
        <f t="shared" si="211"/>
        <v>8086.28</v>
      </c>
      <c r="CZ473">
        <f t="shared" si="212"/>
        <v>802.21</v>
      </c>
      <c r="DA473">
        <f t="shared" si="213"/>
        <v>10.08</v>
      </c>
      <c r="DB473">
        <f t="shared" si="192"/>
        <v>8.02</v>
      </c>
      <c r="DC473">
        <f t="shared" si="193"/>
        <v>0</v>
      </c>
      <c r="DD473" t="s">
        <v>3</v>
      </c>
      <c r="DE473" t="s">
        <v>3</v>
      </c>
      <c r="DF473">
        <f t="shared" si="214"/>
        <v>67.92</v>
      </c>
      <c r="DG473">
        <f t="shared" si="215"/>
        <v>0</v>
      </c>
      <c r="DH473">
        <f t="shared" si="216"/>
        <v>0</v>
      </c>
      <c r="DI473">
        <f t="shared" si="203"/>
        <v>0</v>
      </c>
      <c r="DJ473">
        <f t="shared" si="217"/>
        <v>67.92</v>
      </c>
      <c r="DK473">
        <v>0</v>
      </c>
      <c r="DL473" t="s">
        <v>3</v>
      </c>
      <c r="DM473">
        <v>0</v>
      </c>
      <c r="DN473" t="s">
        <v>3</v>
      </c>
      <c r="DO473">
        <v>0</v>
      </c>
    </row>
    <row r="474" spans="1:119" x14ac:dyDescent="0.2">
      <c r="A474">
        <f>ROW(Source!A489)</f>
        <v>489</v>
      </c>
      <c r="B474">
        <v>94798619</v>
      </c>
      <c r="C474">
        <v>94803391</v>
      </c>
      <c r="D474">
        <v>37745298</v>
      </c>
      <c r="E474">
        <v>1</v>
      </c>
      <c r="F474">
        <v>1</v>
      </c>
      <c r="G474">
        <v>1</v>
      </c>
      <c r="H474">
        <v>3</v>
      </c>
      <c r="I474" t="s">
        <v>1142</v>
      </c>
      <c r="J474" t="s">
        <v>1143</v>
      </c>
      <c r="K474" t="s">
        <v>1144</v>
      </c>
      <c r="L474">
        <v>1348</v>
      </c>
      <c r="N474">
        <v>1009</v>
      </c>
      <c r="O474" t="s">
        <v>170</v>
      </c>
      <c r="P474" t="s">
        <v>170</v>
      </c>
      <c r="Q474">
        <v>1000</v>
      </c>
      <c r="W474">
        <v>0</v>
      </c>
      <c r="X474">
        <v>-1611181314</v>
      </c>
      <c r="Y474">
        <f t="shared" si="191"/>
        <v>3.0100000000000001E-3</v>
      </c>
      <c r="AA474">
        <v>138057.75</v>
      </c>
      <c r="AB474">
        <v>0</v>
      </c>
      <c r="AC474">
        <v>0</v>
      </c>
      <c r="AD474">
        <v>0</v>
      </c>
      <c r="AE474">
        <v>15255</v>
      </c>
      <c r="AF474">
        <v>0</v>
      </c>
      <c r="AG474">
        <v>0</v>
      </c>
      <c r="AH474">
        <v>0</v>
      </c>
      <c r="AI474">
        <v>9.0500000000000007</v>
      </c>
      <c r="AJ474">
        <v>1</v>
      </c>
      <c r="AK474">
        <v>1</v>
      </c>
      <c r="AL474">
        <v>1</v>
      </c>
      <c r="AM474">
        <v>2</v>
      </c>
      <c r="AN474">
        <v>0</v>
      </c>
      <c r="AO474">
        <v>1</v>
      </c>
      <c r="AP474">
        <v>1</v>
      </c>
      <c r="AQ474">
        <v>0</v>
      </c>
      <c r="AR474">
        <v>0</v>
      </c>
      <c r="AS474" t="s">
        <v>3</v>
      </c>
      <c r="AT474">
        <v>3.0100000000000001E-3</v>
      </c>
      <c r="AU474" t="s">
        <v>3</v>
      </c>
      <c r="AV474">
        <v>0</v>
      </c>
      <c r="AW474">
        <v>2</v>
      </c>
      <c r="AX474">
        <v>94803404</v>
      </c>
      <c r="AY474">
        <v>1</v>
      </c>
      <c r="AZ474">
        <v>0</v>
      </c>
      <c r="BA474">
        <v>474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V474">
        <v>0</v>
      </c>
      <c r="CW474">
        <v>0</v>
      </c>
      <c r="CX474">
        <f>ROUND(Y474*Source!I489,9)</f>
        <v>2.5284000000000001E-3</v>
      </c>
      <c r="CY474">
        <f t="shared" si="211"/>
        <v>138057.75</v>
      </c>
      <c r="CZ474">
        <f t="shared" si="212"/>
        <v>15255</v>
      </c>
      <c r="DA474">
        <f t="shared" si="213"/>
        <v>9.0500000000000007</v>
      </c>
      <c r="DB474">
        <f t="shared" si="192"/>
        <v>45.92</v>
      </c>
      <c r="DC474">
        <f t="shared" si="193"/>
        <v>0</v>
      </c>
      <c r="DD474" t="s">
        <v>3</v>
      </c>
      <c r="DE474" t="s">
        <v>3</v>
      </c>
      <c r="DF474">
        <f t="shared" si="214"/>
        <v>349.07</v>
      </c>
      <c r="DG474">
        <f t="shared" si="215"/>
        <v>0</v>
      </c>
      <c r="DH474">
        <f t="shared" si="216"/>
        <v>0</v>
      </c>
      <c r="DI474">
        <f t="shared" si="203"/>
        <v>0</v>
      </c>
      <c r="DJ474">
        <f t="shared" si="217"/>
        <v>349.07</v>
      </c>
      <c r="DK474">
        <v>0</v>
      </c>
      <c r="DL474" t="s">
        <v>3</v>
      </c>
      <c r="DM474">
        <v>0</v>
      </c>
      <c r="DN474" t="s">
        <v>3</v>
      </c>
      <c r="DO474">
        <v>0</v>
      </c>
    </row>
    <row r="475" spans="1:119" x14ac:dyDescent="0.2">
      <c r="A475">
        <f>ROW(Source!A490)</f>
        <v>490</v>
      </c>
      <c r="B475">
        <v>94798619</v>
      </c>
      <c r="C475">
        <v>94803405</v>
      </c>
      <c r="D475">
        <v>23134047</v>
      </c>
      <c r="E475">
        <v>1</v>
      </c>
      <c r="F475">
        <v>1</v>
      </c>
      <c r="G475">
        <v>1</v>
      </c>
      <c r="H475">
        <v>1</v>
      </c>
      <c r="I475" t="s">
        <v>1145</v>
      </c>
      <c r="J475" t="s">
        <v>3</v>
      </c>
      <c r="K475" t="s">
        <v>1146</v>
      </c>
      <c r="L475">
        <v>1369</v>
      </c>
      <c r="N475">
        <v>1013</v>
      </c>
      <c r="O475" t="s">
        <v>696</v>
      </c>
      <c r="P475" t="s">
        <v>696</v>
      </c>
      <c r="Q475">
        <v>1</v>
      </c>
      <c r="W475">
        <v>0</v>
      </c>
      <c r="X475">
        <v>859696649</v>
      </c>
      <c r="Y475">
        <f t="shared" ref="Y475:Y498" si="218">AT475</f>
        <v>36.299999999999997</v>
      </c>
      <c r="AA475">
        <v>0</v>
      </c>
      <c r="AB475">
        <v>0</v>
      </c>
      <c r="AC475">
        <v>0</v>
      </c>
      <c r="AD475">
        <v>8.07</v>
      </c>
      <c r="AE475">
        <v>0</v>
      </c>
      <c r="AF475">
        <v>0</v>
      </c>
      <c r="AG475">
        <v>0</v>
      </c>
      <c r="AH475">
        <v>8.07</v>
      </c>
      <c r="AI475">
        <v>1</v>
      </c>
      <c r="AJ475">
        <v>1</v>
      </c>
      <c r="AK475">
        <v>1</v>
      </c>
      <c r="AL475">
        <v>1</v>
      </c>
      <c r="AM475">
        <v>-2</v>
      </c>
      <c r="AN475">
        <v>0</v>
      </c>
      <c r="AO475">
        <v>1</v>
      </c>
      <c r="AP475">
        <v>1</v>
      </c>
      <c r="AQ475">
        <v>0</v>
      </c>
      <c r="AR475">
        <v>0</v>
      </c>
      <c r="AS475" t="s">
        <v>3</v>
      </c>
      <c r="AT475">
        <v>36.299999999999997</v>
      </c>
      <c r="AU475" t="s">
        <v>3</v>
      </c>
      <c r="AV475">
        <v>1</v>
      </c>
      <c r="AW475">
        <v>2</v>
      </c>
      <c r="AX475">
        <v>94803406</v>
      </c>
      <c r="AY475">
        <v>1</v>
      </c>
      <c r="AZ475">
        <v>0</v>
      </c>
      <c r="BA475">
        <v>475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U475">
        <f>ROUND(AT475*Source!I490*AH475*AL475,2)</f>
        <v>35.15</v>
      </c>
      <c r="CV475">
        <f>ROUND(Y475*Source!I490,9)</f>
        <v>4.3559999999999999</v>
      </c>
      <c r="CW475">
        <v>0</v>
      </c>
      <c r="CX475">
        <f>ROUND(Y475*Source!I490,9)</f>
        <v>4.3559999999999999</v>
      </c>
      <c r="CY475">
        <f>AD475</f>
        <v>8.07</v>
      </c>
      <c r="CZ475">
        <f>AH475</f>
        <v>8.07</v>
      </c>
      <c r="DA475">
        <f>AL475</f>
        <v>1</v>
      </c>
      <c r="DB475">
        <f t="shared" ref="DB475:DB498" si="219">ROUND(ROUND(AT475*CZ475,2),2)</f>
        <v>292.94</v>
      </c>
      <c r="DC475">
        <f t="shared" ref="DC475:DC498" si="220">ROUND(ROUND(AT475*AG475,2),2)</f>
        <v>0</v>
      </c>
      <c r="DD475" t="s">
        <v>3</v>
      </c>
      <c r="DE475" t="s">
        <v>3</v>
      </c>
      <c r="DF475">
        <f>ROUND(ROUND(AE475,2)*CX475,2)</f>
        <v>0</v>
      </c>
      <c r="DG475">
        <f t="shared" si="215"/>
        <v>0</v>
      </c>
      <c r="DH475">
        <f t="shared" si="216"/>
        <v>0</v>
      </c>
      <c r="DI475">
        <f t="shared" si="203"/>
        <v>35.15</v>
      </c>
      <c r="DJ475">
        <f>DI475</f>
        <v>35.15</v>
      </c>
      <c r="DK475">
        <v>0</v>
      </c>
      <c r="DL475" t="s">
        <v>3</v>
      </c>
      <c r="DM475">
        <v>0</v>
      </c>
      <c r="DN475" t="s">
        <v>3</v>
      </c>
      <c r="DO475">
        <v>0</v>
      </c>
    </row>
    <row r="476" spans="1:119" x14ac:dyDescent="0.2">
      <c r="A476">
        <f>ROW(Source!A490)</f>
        <v>490</v>
      </c>
      <c r="B476">
        <v>94798619</v>
      </c>
      <c r="C476">
        <v>94803405</v>
      </c>
      <c r="D476">
        <v>37804145</v>
      </c>
      <c r="E476">
        <v>1</v>
      </c>
      <c r="F476">
        <v>1</v>
      </c>
      <c r="G476">
        <v>1</v>
      </c>
      <c r="H476">
        <v>2</v>
      </c>
      <c r="I476" t="s">
        <v>1147</v>
      </c>
      <c r="J476" t="s">
        <v>1148</v>
      </c>
      <c r="K476" t="s">
        <v>1149</v>
      </c>
      <c r="L476">
        <v>1368</v>
      </c>
      <c r="N476">
        <v>1011</v>
      </c>
      <c r="O476" t="s">
        <v>700</v>
      </c>
      <c r="P476" t="s">
        <v>700</v>
      </c>
      <c r="Q476">
        <v>1</v>
      </c>
      <c r="W476">
        <v>0</v>
      </c>
      <c r="X476">
        <v>-250660111</v>
      </c>
      <c r="Y476">
        <f t="shared" si="218"/>
        <v>0.36</v>
      </c>
      <c r="AA476">
        <v>0</v>
      </c>
      <c r="AB476">
        <v>7.12</v>
      </c>
      <c r="AC476">
        <v>0</v>
      </c>
      <c r="AD476">
        <v>0</v>
      </c>
      <c r="AE476">
        <v>0</v>
      </c>
      <c r="AF476">
        <v>0.96</v>
      </c>
      <c r="AG476">
        <v>0</v>
      </c>
      <c r="AH476">
        <v>0</v>
      </c>
      <c r="AI476">
        <v>1</v>
      </c>
      <c r="AJ476">
        <v>7.42</v>
      </c>
      <c r="AK476">
        <v>35.270000000000003</v>
      </c>
      <c r="AL476">
        <v>1</v>
      </c>
      <c r="AM476">
        <v>2</v>
      </c>
      <c r="AN476">
        <v>0</v>
      </c>
      <c r="AO476">
        <v>1</v>
      </c>
      <c r="AP476">
        <v>1</v>
      </c>
      <c r="AQ476">
        <v>0</v>
      </c>
      <c r="AR476">
        <v>0</v>
      </c>
      <c r="AS476" t="s">
        <v>3</v>
      </c>
      <c r="AT476">
        <v>0.36</v>
      </c>
      <c r="AU476" t="s">
        <v>3</v>
      </c>
      <c r="AV476">
        <v>0</v>
      </c>
      <c r="AW476">
        <v>2</v>
      </c>
      <c r="AX476">
        <v>94803407</v>
      </c>
      <c r="AY476">
        <v>1</v>
      </c>
      <c r="AZ476">
        <v>0</v>
      </c>
      <c r="BA476">
        <v>476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V476">
        <v>0</v>
      </c>
      <c r="CW476">
        <f>ROUND(Y476*Source!I490*DO476,9)</f>
        <v>0</v>
      </c>
      <c r="CX476">
        <f>ROUND(Y476*Source!I490,9)</f>
        <v>4.3200000000000002E-2</v>
      </c>
      <c r="CY476">
        <f>AB476</f>
        <v>7.12</v>
      </c>
      <c r="CZ476">
        <f>AF476</f>
        <v>0.96</v>
      </c>
      <c r="DA476">
        <f>AJ476</f>
        <v>7.42</v>
      </c>
      <c r="DB476">
        <f t="shared" si="219"/>
        <v>0.35</v>
      </c>
      <c r="DC476">
        <f t="shared" si="220"/>
        <v>0</v>
      </c>
      <c r="DD476" t="s">
        <v>3</v>
      </c>
      <c r="DE476" t="s">
        <v>3</v>
      </c>
      <c r="DF476">
        <f>ROUND(ROUND(AE476,2)*CX476,2)</f>
        <v>0</v>
      </c>
      <c r="DG476">
        <f>ROUND(ROUND(AF476*AJ476,2)*CX476,2)</f>
        <v>0.31</v>
      </c>
      <c r="DH476">
        <f>ROUND(ROUND(AG476*AK476,2)*CX476,2)</f>
        <v>0</v>
      </c>
      <c r="DI476">
        <f t="shared" si="203"/>
        <v>0</v>
      </c>
      <c r="DJ476">
        <f>DG476</f>
        <v>0.31</v>
      </c>
      <c r="DK476">
        <v>0</v>
      </c>
      <c r="DL476" t="s">
        <v>3</v>
      </c>
      <c r="DM476">
        <v>0</v>
      </c>
      <c r="DN476" t="s">
        <v>3</v>
      </c>
      <c r="DO476">
        <v>0</v>
      </c>
    </row>
    <row r="477" spans="1:119" x14ac:dyDescent="0.2">
      <c r="A477">
        <f>ROW(Source!A490)</f>
        <v>490</v>
      </c>
      <c r="B477">
        <v>94798619</v>
      </c>
      <c r="C477">
        <v>94803405</v>
      </c>
      <c r="D477">
        <v>37804456</v>
      </c>
      <c r="E477">
        <v>1</v>
      </c>
      <c r="F477">
        <v>1</v>
      </c>
      <c r="G477">
        <v>1</v>
      </c>
      <c r="H477">
        <v>2</v>
      </c>
      <c r="I477" t="s">
        <v>713</v>
      </c>
      <c r="J477" t="s">
        <v>714</v>
      </c>
      <c r="K477" t="s">
        <v>715</v>
      </c>
      <c r="L477">
        <v>1368</v>
      </c>
      <c r="N477">
        <v>1011</v>
      </c>
      <c r="O477" t="s">
        <v>700</v>
      </c>
      <c r="P477" t="s">
        <v>700</v>
      </c>
      <c r="Q477">
        <v>1</v>
      </c>
      <c r="W477">
        <v>0</v>
      </c>
      <c r="X477">
        <v>-671646184</v>
      </c>
      <c r="Y477">
        <f t="shared" si="218"/>
        <v>0.56000000000000005</v>
      </c>
      <c r="AA477">
        <v>0</v>
      </c>
      <c r="AB477">
        <v>1305.74</v>
      </c>
      <c r="AC477">
        <v>365.04</v>
      </c>
      <c r="AD477">
        <v>0</v>
      </c>
      <c r="AE477">
        <v>0</v>
      </c>
      <c r="AF477">
        <v>91.76</v>
      </c>
      <c r="AG477">
        <v>10.35</v>
      </c>
      <c r="AH477">
        <v>0</v>
      </c>
      <c r="AI477">
        <v>1</v>
      </c>
      <c r="AJ477">
        <v>14.23</v>
      </c>
      <c r="AK477">
        <v>35.270000000000003</v>
      </c>
      <c r="AL477">
        <v>1</v>
      </c>
      <c r="AM477">
        <v>2</v>
      </c>
      <c r="AN477">
        <v>0</v>
      </c>
      <c r="AO477">
        <v>1</v>
      </c>
      <c r="AP477">
        <v>1</v>
      </c>
      <c r="AQ477">
        <v>0</v>
      </c>
      <c r="AR477">
        <v>0</v>
      </c>
      <c r="AS477" t="s">
        <v>3</v>
      </c>
      <c r="AT477">
        <v>0.56000000000000005</v>
      </c>
      <c r="AU477" t="s">
        <v>3</v>
      </c>
      <c r="AV477">
        <v>0</v>
      </c>
      <c r="AW477">
        <v>2</v>
      </c>
      <c r="AX477">
        <v>94803408</v>
      </c>
      <c r="AY477">
        <v>1</v>
      </c>
      <c r="AZ477">
        <v>0</v>
      </c>
      <c r="BA477">
        <v>477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V477">
        <v>0</v>
      </c>
      <c r="CW477">
        <f>ROUND(Y477*Source!I490*DO477,9)</f>
        <v>0</v>
      </c>
      <c r="CX477">
        <f>ROUND(Y477*Source!I490,9)</f>
        <v>6.7199999999999996E-2</v>
      </c>
      <c r="CY477">
        <f>AB477</f>
        <v>1305.74</v>
      </c>
      <c r="CZ477">
        <f>AF477</f>
        <v>91.76</v>
      </c>
      <c r="DA477">
        <f>AJ477</f>
        <v>14.23</v>
      </c>
      <c r="DB477">
        <f t="shared" si="219"/>
        <v>51.39</v>
      </c>
      <c r="DC477">
        <f t="shared" si="220"/>
        <v>5.8</v>
      </c>
      <c r="DD477" t="s">
        <v>3</v>
      </c>
      <c r="DE477" t="s">
        <v>3</v>
      </c>
      <c r="DF477">
        <f>ROUND(ROUND(AE477,2)*CX477,2)</f>
        <v>0</v>
      </c>
      <c r="DG477">
        <f>ROUND(ROUND(AF477*AJ477,2)*CX477,2)</f>
        <v>87.75</v>
      </c>
      <c r="DH477">
        <f>ROUND(ROUND(AG477*AK477,2)*CX477,2)</f>
        <v>24.53</v>
      </c>
      <c r="DI477">
        <f t="shared" si="203"/>
        <v>0</v>
      </c>
      <c r="DJ477">
        <f>DG477</f>
        <v>87.75</v>
      </c>
      <c r="DK477">
        <v>0</v>
      </c>
      <c r="DL477" t="s">
        <v>3</v>
      </c>
      <c r="DM477">
        <v>0</v>
      </c>
      <c r="DN477" t="s">
        <v>3</v>
      </c>
      <c r="DO477">
        <v>0</v>
      </c>
    </row>
    <row r="478" spans="1:119" x14ac:dyDescent="0.2">
      <c r="A478">
        <f>ROW(Source!A490)</f>
        <v>490</v>
      </c>
      <c r="B478">
        <v>94798619</v>
      </c>
      <c r="C478">
        <v>94803405</v>
      </c>
      <c r="D478">
        <v>37736939</v>
      </c>
      <c r="E478">
        <v>1</v>
      </c>
      <c r="F478">
        <v>1</v>
      </c>
      <c r="G478">
        <v>1</v>
      </c>
      <c r="H478">
        <v>3</v>
      </c>
      <c r="I478" t="s">
        <v>1150</v>
      </c>
      <c r="J478" t="s">
        <v>1151</v>
      </c>
      <c r="K478" t="s">
        <v>1152</v>
      </c>
      <c r="L478">
        <v>1348</v>
      </c>
      <c r="N478">
        <v>1009</v>
      </c>
      <c r="O478" t="s">
        <v>170</v>
      </c>
      <c r="P478" t="s">
        <v>170</v>
      </c>
      <c r="Q478">
        <v>1000</v>
      </c>
      <c r="W478">
        <v>0</v>
      </c>
      <c r="X478">
        <v>-1097756755</v>
      </c>
      <c r="Y478">
        <f t="shared" si="218"/>
        <v>7.2500000000000004E-3</v>
      </c>
      <c r="AA478">
        <v>76361.11</v>
      </c>
      <c r="AB478">
        <v>0</v>
      </c>
      <c r="AC478">
        <v>0</v>
      </c>
      <c r="AD478">
        <v>0</v>
      </c>
      <c r="AE478">
        <v>9167</v>
      </c>
      <c r="AF478">
        <v>0</v>
      </c>
      <c r="AG478">
        <v>0</v>
      </c>
      <c r="AH478">
        <v>0</v>
      </c>
      <c r="AI478">
        <v>8.33</v>
      </c>
      <c r="AJ478">
        <v>1</v>
      </c>
      <c r="AK478">
        <v>1</v>
      </c>
      <c r="AL478">
        <v>1</v>
      </c>
      <c r="AM478">
        <v>2</v>
      </c>
      <c r="AN478">
        <v>0</v>
      </c>
      <c r="AO478">
        <v>1</v>
      </c>
      <c r="AP478">
        <v>1</v>
      </c>
      <c r="AQ478">
        <v>0</v>
      </c>
      <c r="AR478">
        <v>0</v>
      </c>
      <c r="AS478" t="s">
        <v>3</v>
      </c>
      <c r="AT478">
        <v>7.2500000000000004E-3</v>
      </c>
      <c r="AU478" t="s">
        <v>3</v>
      </c>
      <c r="AV478">
        <v>0</v>
      </c>
      <c r="AW478">
        <v>2</v>
      </c>
      <c r="AX478">
        <v>94803409</v>
      </c>
      <c r="AY478">
        <v>1</v>
      </c>
      <c r="AZ478">
        <v>0</v>
      </c>
      <c r="BA478">
        <v>478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V478">
        <v>0</v>
      </c>
      <c r="CW478">
        <v>0</v>
      </c>
      <c r="CX478">
        <f>ROUND(Y478*Source!I490,9)</f>
        <v>8.7000000000000001E-4</v>
      </c>
      <c r="CY478">
        <f>AA478</f>
        <v>76361.11</v>
      </c>
      <c r="CZ478">
        <f>AE478</f>
        <v>9167</v>
      </c>
      <c r="DA478">
        <f>AI478</f>
        <v>8.33</v>
      </c>
      <c r="DB478">
        <f t="shared" si="219"/>
        <v>66.459999999999994</v>
      </c>
      <c r="DC478">
        <f t="shared" si="220"/>
        <v>0</v>
      </c>
      <c r="DD478" t="s">
        <v>3</v>
      </c>
      <c r="DE478" t="s">
        <v>3</v>
      </c>
      <c r="DF478">
        <f>ROUND(ROUND(AE478*AI478,2)*CX478,2)</f>
        <v>66.430000000000007</v>
      </c>
      <c r="DG478">
        <f t="shared" ref="DG478:DG484" si="221">ROUND(ROUND(AF478,2)*CX478,2)</f>
        <v>0</v>
      </c>
      <c r="DH478">
        <f t="shared" ref="DH478:DH484" si="222">ROUND(ROUND(AG478,2)*CX478,2)</f>
        <v>0</v>
      </c>
      <c r="DI478">
        <f t="shared" si="203"/>
        <v>0</v>
      </c>
      <c r="DJ478">
        <f>DF478</f>
        <v>66.430000000000007</v>
      </c>
      <c r="DK478">
        <v>0</v>
      </c>
      <c r="DL478" t="s">
        <v>3</v>
      </c>
      <c r="DM478">
        <v>0</v>
      </c>
      <c r="DN478" t="s">
        <v>3</v>
      </c>
      <c r="DO478">
        <v>0</v>
      </c>
    </row>
    <row r="479" spans="1:119" x14ac:dyDescent="0.2">
      <c r="A479">
        <f>ROW(Source!A490)</f>
        <v>490</v>
      </c>
      <c r="B479">
        <v>94798619</v>
      </c>
      <c r="C479">
        <v>94803405</v>
      </c>
      <c r="D479">
        <v>37736992</v>
      </c>
      <c r="E479">
        <v>1</v>
      </c>
      <c r="F479">
        <v>1</v>
      </c>
      <c r="G479">
        <v>1</v>
      </c>
      <c r="H479">
        <v>3</v>
      </c>
      <c r="I479" t="s">
        <v>1153</v>
      </c>
      <c r="J479" t="s">
        <v>1154</v>
      </c>
      <c r="K479" t="s">
        <v>1155</v>
      </c>
      <c r="L479">
        <v>1348</v>
      </c>
      <c r="N479">
        <v>1009</v>
      </c>
      <c r="O479" t="s">
        <v>170</v>
      </c>
      <c r="P479" t="s">
        <v>170</v>
      </c>
      <c r="Q479">
        <v>1000</v>
      </c>
      <c r="W479">
        <v>0</v>
      </c>
      <c r="X479">
        <v>-1999067301</v>
      </c>
      <c r="Y479">
        <f t="shared" si="218"/>
        <v>2.2000000000000001E-3</v>
      </c>
      <c r="AA479">
        <v>196082.13</v>
      </c>
      <c r="AB479">
        <v>0</v>
      </c>
      <c r="AC479">
        <v>0</v>
      </c>
      <c r="AD479">
        <v>0</v>
      </c>
      <c r="AE479">
        <v>9167</v>
      </c>
      <c r="AF479">
        <v>0</v>
      </c>
      <c r="AG479">
        <v>0</v>
      </c>
      <c r="AH479">
        <v>0</v>
      </c>
      <c r="AI479">
        <v>21.39</v>
      </c>
      <c r="AJ479">
        <v>1</v>
      </c>
      <c r="AK479">
        <v>1</v>
      </c>
      <c r="AL479">
        <v>1</v>
      </c>
      <c r="AM479">
        <v>2</v>
      </c>
      <c r="AN479">
        <v>0</v>
      </c>
      <c r="AO479">
        <v>1</v>
      </c>
      <c r="AP479">
        <v>1</v>
      </c>
      <c r="AQ479">
        <v>0</v>
      </c>
      <c r="AR479">
        <v>0</v>
      </c>
      <c r="AS479" t="s">
        <v>3</v>
      </c>
      <c r="AT479">
        <v>2.2000000000000001E-3</v>
      </c>
      <c r="AU479" t="s">
        <v>3</v>
      </c>
      <c r="AV479">
        <v>0</v>
      </c>
      <c r="AW479">
        <v>2</v>
      </c>
      <c r="AX479">
        <v>94803410</v>
      </c>
      <c r="AY479">
        <v>1</v>
      </c>
      <c r="AZ479">
        <v>0</v>
      </c>
      <c r="BA479">
        <v>479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V479">
        <v>0</v>
      </c>
      <c r="CW479">
        <v>0</v>
      </c>
      <c r="CX479">
        <f>ROUND(Y479*Source!I490,9)</f>
        <v>2.6400000000000002E-4</v>
      </c>
      <c r="CY479">
        <f>AA479</f>
        <v>196082.13</v>
      </c>
      <c r="CZ479">
        <f>AE479</f>
        <v>9167</v>
      </c>
      <c r="DA479">
        <f>AI479</f>
        <v>21.39</v>
      </c>
      <c r="DB479">
        <f t="shared" si="219"/>
        <v>20.170000000000002</v>
      </c>
      <c r="DC479">
        <f t="shared" si="220"/>
        <v>0</v>
      </c>
      <c r="DD479" t="s">
        <v>3</v>
      </c>
      <c r="DE479" t="s">
        <v>3</v>
      </c>
      <c r="DF479">
        <f>ROUND(ROUND(AE479*AI479,2)*CX479,2)</f>
        <v>51.77</v>
      </c>
      <c r="DG479">
        <f t="shared" si="221"/>
        <v>0</v>
      </c>
      <c r="DH479">
        <f t="shared" si="222"/>
        <v>0</v>
      </c>
      <c r="DI479">
        <f t="shared" si="203"/>
        <v>0</v>
      </c>
      <c r="DJ479">
        <f>DF479</f>
        <v>51.77</v>
      </c>
      <c r="DK479">
        <v>0</v>
      </c>
      <c r="DL479" t="s">
        <v>3</v>
      </c>
      <c r="DM479">
        <v>0</v>
      </c>
      <c r="DN479" t="s">
        <v>3</v>
      </c>
      <c r="DO479">
        <v>0</v>
      </c>
    </row>
    <row r="480" spans="1:119" x14ac:dyDescent="0.2">
      <c r="A480">
        <f>ROW(Source!A490)</f>
        <v>490</v>
      </c>
      <c r="B480">
        <v>94798619</v>
      </c>
      <c r="C480">
        <v>94803405</v>
      </c>
      <c r="D480">
        <v>37731297</v>
      </c>
      <c r="E480">
        <v>1</v>
      </c>
      <c r="F480">
        <v>1</v>
      </c>
      <c r="G480">
        <v>1</v>
      </c>
      <c r="H480">
        <v>3</v>
      </c>
      <c r="I480" t="s">
        <v>1156</v>
      </c>
      <c r="J480" t="s">
        <v>1157</v>
      </c>
      <c r="K480" t="s">
        <v>1158</v>
      </c>
      <c r="L480">
        <v>1327</v>
      </c>
      <c r="N480">
        <v>1005</v>
      </c>
      <c r="O480" t="s">
        <v>201</v>
      </c>
      <c r="P480" t="s">
        <v>201</v>
      </c>
      <c r="Q480">
        <v>1</v>
      </c>
      <c r="W480">
        <v>0</v>
      </c>
      <c r="X480">
        <v>1462903002</v>
      </c>
      <c r="Y480">
        <f t="shared" si="218"/>
        <v>105</v>
      </c>
      <c r="AA480">
        <v>31.49</v>
      </c>
      <c r="AB480">
        <v>0</v>
      </c>
      <c r="AC480">
        <v>0</v>
      </c>
      <c r="AD480">
        <v>0</v>
      </c>
      <c r="AE480">
        <v>3.25</v>
      </c>
      <c r="AF480">
        <v>0</v>
      </c>
      <c r="AG480">
        <v>0</v>
      </c>
      <c r="AH480">
        <v>0</v>
      </c>
      <c r="AI480">
        <v>9.69</v>
      </c>
      <c r="AJ480">
        <v>1</v>
      </c>
      <c r="AK480">
        <v>1</v>
      </c>
      <c r="AL480">
        <v>1</v>
      </c>
      <c r="AM480">
        <v>2</v>
      </c>
      <c r="AN480">
        <v>0</v>
      </c>
      <c r="AO480">
        <v>1</v>
      </c>
      <c r="AP480">
        <v>1</v>
      </c>
      <c r="AQ480">
        <v>0</v>
      </c>
      <c r="AR480">
        <v>0</v>
      </c>
      <c r="AS480" t="s">
        <v>3</v>
      </c>
      <c r="AT480">
        <v>105</v>
      </c>
      <c r="AU480" t="s">
        <v>3</v>
      </c>
      <c r="AV480">
        <v>0</v>
      </c>
      <c r="AW480">
        <v>2</v>
      </c>
      <c r="AX480">
        <v>94803411</v>
      </c>
      <c r="AY480">
        <v>1</v>
      </c>
      <c r="AZ480">
        <v>0</v>
      </c>
      <c r="BA480">
        <v>480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V480">
        <v>0</v>
      </c>
      <c r="CW480">
        <v>0</v>
      </c>
      <c r="CX480">
        <f>ROUND(Y480*Source!I490,9)</f>
        <v>12.6</v>
      </c>
      <c r="CY480">
        <f>AA480</f>
        <v>31.49</v>
      </c>
      <c r="CZ480">
        <f>AE480</f>
        <v>3.25</v>
      </c>
      <c r="DA480">
        <f>AI480</f>
        <v>9.69</v>
      </c>
      <c r="DB480">
        <f t="shared" si="219"/>
        <v>341.25</v>
      </c>
      <c r="DC480">
        <f t="shared" si="220"/>
        <v>0</v>
      </c>
      <c r="DD480" t="s">
        <v>3</v>
      </c>
      <c r="DE480" t="s">
        <v>3</v>
      </c>
      <c r="DF480">
        <f>ROUND(ROUND(AE480*AI480,2)*CX480,2)</f>
        <v>396.77</v>
      </c>
      <c r="DG480">
        <f t="shared" si="221"/>
        <v>0</v>
      </c>
      <c r="DH480">
        <f t="shared" si="222"/>
        <v>0</v>
      </c>
      <c r="DI480">
        <f t="shared" si="203"/>
        <v>0</v>
      </c>
      <c r="DJ480">
        <f>DF480</f>
        <v>396.77</v>
      </c>
      <c r="DK480">
        <v>0</v>
      </c>
      <c r="DL480" t="s">
        <v>3</v>
      </c>
      <c r="DM480">
        <v>0</v>
      </c>
      <c r="DN480" t="s">
        <v>3</v>
      </c>
      <c r="DO480">
        <v>0</v>
      </c>
    </row>
    <row r="481" spans="1:119" x14ac:dyDescent="0.2">
      <c r="A481">
        <f>ROW(Source!A490)</f>
        <v>490</v>
      </c>
      <c r="B481">
        <v>94798619</v>
      </c>
      <c r="C481">
        <v>94803405</v>
      </c>
      <c r="D481">
        <v>37738204</v>
      </c>
      <c r="E481">
        <v>1</v>
      </c>
      <c r="F481">
        <v>1</v>
      </c>
      <c r="G481">
        <v>1</v>
      </c>
      <c r="H481">
        <v>3</v>
      </c>
      <c r="I481" t="s">
        <v>1159</v>
      </c>
      <c r="J481" t="s">
        <v>1160</v>
      </c>
      <c r="K481" t="s">
        <v>1161</v>
      </c>
      <c r="L481">
        <v>1339</v>
      </c>
      <c r="N481">
        <v>1007</v>
      </c>
      <c r="O481" t="s">
        <v>52</v>
      </c>
      <c r="P481" t="s">
        <v>52</v>
      </c>
      <c r="Q481">
        <v>1</v>
      </c>
      <c r="W481">
        <v>0</v>
      </c>
      <c r="X481">
        <v>573909140</v>
      </c>
      <c r="Y481">
        <f t="shared" si="218"/>
        <v>0.14000000000000001</v>
      </c>
      <c r="AA481">
        <v>15352.5</v>
      </c>
      <c r="AB481">
        <v>0</v>
      </c>
      <c r="AC481">
        <v>0</v>
      </c>
      <c r="AD481">
        <v>0</v>
      </c>
      <c r="AE481">
        <v>1150</v>
      </c>
      <c r="AF481">
        <v>0</v>
      </c>
      <c r="AG481">
        <v>0</v>
      </c>
      <c r="AH481">
        <v>0</v>
      </c>
      <c r="AI481">
        <v>13.35</v>
      </c>
      <c r="AJ481">
        <v>1</v>
      </c>
      <c r="AK481">
        <v>1</v>
      </c>
      <c r="AL481">
        <v>1</v>
      </c>
      <c r="AM481">
        <v>2</v>
      </c>
      <c r="AN481">
        <v>0</v>
      </c>
      <c r="AO481">
        <v>1</v>
      </c>
      <c r="AP481">
        <v>1</v>
      </c>
      <c r="AQ481">
        <v>0</v>
      </c>
      <c r="AR481">
        <v>0</v>
      </c>
      <c r="AS481" t="s">
        <v>3</v>
      </c>
      <c r="AT481">
        <v>0.14000000000000001</v>
      </c>
      <c r="AU481" t="s">
        <v>3</v>
      </c>
      <c r="AV481">
        <v>0</v>
      </c>
      <c r="AW481">
        <v>2</v>
      </c>
      <c r="AX481">
        <v>94803412</v>
      </c>
      <c r="AY481">
        <v>1</v>
      </c>
      <c r="AZ481">
        <v>0</v>
      </c>
      <c r="BA481">
        <v>481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V481">
        <v>0</v>
      </c>
      <c r="CW481">
        <v>0</v>
      </c>
      <c r="CX481">
        <f>ROUND(Y481*Source!I490,9)</f>
        <v>1.6799999999999999E-2</v>
      </c>
      <c r="CY481">
        <f>AA481</f>
        <v>15352.5</v>
      </c>
      <c r="CZ481">
        <f>AE481</f>
        <v>1150</v>
      </c>
      <c r="DA481">
        <f>AI481</f>
        <v>13.35</v>
      </c>
      <c r="DB481">
        <f t="shared" si="219"/>
        <v>161</v>
      </c>
      <c r="DC481">
        <f t="shared" si="220"/>
        <v>0</v>
      </c>
      <c r="DD481" t="s">
        <v>3</v>
      </c>
      <c r="DE481" t="s">
        <v>3</v>
      </c>
      <c r="DF481">
        <f>ROUND(ROUND(AE481*AI481,2)*CX481,2)</f>
        <v>257.92</v>
      </c>
      <c r="DG481">
        <f t="shared" si="221"/>
        <v>0</v>
      </c>
      <c r="DH481">
        <f t="shared" si="222"/>
        <v>0</v>
      </c>
      <c r="DI481">
        <f t="shared" si="203"/>
        <v>0</v>
      </c>
      <c r="DJ481">
        <f>DF481</f>
        <v>257.92</v>
      </c>
      <c r="DK481">
        <v>0</v>
      </c>
      <c r="DL481" t="s">
        <v>3</v>
      </c>
      <c r="DM481">
        <v>0</v>
      </c>
      <c r="DN481" t="s">
        <v>3</v>
      </c>
      <c r="DO481">
        <v>0</v>
      </c>
    </row>
    <row r="482" spans="1:119" x14ac:dyDescent="0.2">
      <c r="A482">
        <f>ROW(Source!A490)</f>
        <v>490</v>
      </c>
      <c r="B482">
        <v>94798619</v>
      </c>
      <c r="C482">
        <v>94803405</v>
      </c>
      <c r="D482">
        <v>37752962</v>
      </c>
      <c r="E482">
        <v>1</v>
      </c>
      <c r="F482">
        <v>1</v>
      </c>
      <c r="G482">
        <v>1</v>
      </c>
      <c r="H482">
        <v>3</v>
      </c>
      <c r="I482" t="s">
        <v>1162</v>
      </c>
      <c r="J482" t="s">
        <v>1163</v>
      </c>
      <c r="K482" t="s">
        <v>1164</v>
      </c>
      <c r="L482">
        <v>1339</v>
      </c>
      <c r="N482">
        <v>1007</v>
      </c>
      <c r="O482" t="s">
        <v>52</v>
      </c>
      <c r="P482" t="s">
        <v>52</v>
      </c>
      <c r="Q482">
        <v>1</v>
      </c>
      <c r="W482">
        <v>0</v>
      </c>
      <c r="X482">
        <v>-649107084</v>
      </c>
      <c r="Y482">
        <f t="shared" si="218"/>
        <v>1.43</v>
      </c>
      <c r="AA482">
        <v>25314.959999999999</v>
      </c>
      <c r="AB482">
        <v>0</v>
      </c>
      <c r="AC482">
        <v>0</v>
      </c>
      <c r="AD482">
        <v>0</v>
      </c>
      <c r="AE482">
        <v>1784</v>
      </c>
      <c r="AF482">
        <v>0</v>
      </c>
      <c r="AG482">
        <v>0</v>
      </c>
      <c r="AH482">
        <v>0</v>
      </c>
      <c r="AI482">
        <v>14.19</v>
      </c>
      <c r="AJ482">
        <v>1</v>
      </c>
      <c r="AK482">
        <v>1</v>
      </c>
      <c r="AL482">
        <v>1</v>
      </c>
      <c r="AM482">
        <v>2</v>
      </c>
      <c r="AN482">
        <v>0</v>
      </c>
      <c r="AO482">
        <v>1</v>
      </c>
      <c r="AP482">
        <v>1</v>
      </c>
      <c r="AQ482">
        <v>0</v>
      </c>
      <c r="AR482">
        <v>0</v>
      </c>
      <c r="AS482" t="s">
        <v>3</v>
      </c>
      <c r="AT482">
        <v>1.43</v>
      </c>
      <c r="AU482" t="s">
        <v>3</v>
      </c>
      <c r="AV482">
        <v>0</v>
      </c>
      <c r="AW482">
        <v>2</v>
      </c>
      <c r="AX482">
        <v>94803413</v>
      </c>
      <c r="AY482">
        <v>1</v>
      </c>
      <c r="AZ482">
        <v>0</v>
      </c>
      <c r="BA482">
        <v>482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CV482">
        <v>0</v>
      </c>
      <c r="CW482">
        <v>0</v>
      </c>
      <c r="CX482">
        <f>ROUND(Y482*Source!I490,9)</f>
        <v>0.1716</v>
      </c>
      <c r="CY482">
        <f>AA482</f>
        <v>25314.959999999999</v>
      </c>
      <c r="CZ482">
        <f>AE482</f>
        <v>1784</v>
      </c>
      <c r="DA482">
        <f>AI482</f>
        <v>14.19</v>
      </c>
      <c r="DB482">
        <f t="shared" si="219"/>
        <v>2551.12</v>
      </c>
      <c r="DC482">
        <f t="shared" si="220"/>
        <v>0</v>
      </c>
      <c r="DD482" t="s">
        <v>3</v>
      </c>
      <c r="DE482" t="s">
        <v>3</v>
      </c>
      <c r="DF482">
        <f>ROUND(ROUND(AE482*AI482,2)*CX482,2)</f>
        <v>4344.05</v>
      </c>
      <c r="DG482">
        <f t="shared" si="221"/>
        <v>0</v>
      </c>
      <c r="DH482">
        <f t="shared" si="222"/>
        <v>0</v>
      </c>
      <c r="DI482">
        <f t="shared" si="203"/>
        <v>0</v>
      </c>
      <c r="DJ482">
        <f>DF482</f>
        <v>4344.05</v>
      </c>
      <c r="DK482">
        <v>0</v>
      </c>
      <c r="DL482" t="s">
        <v>3</v>
      </c>
      <c r="DM482">
        <v>0</v>
      </c>
      <c r="DN482" t="s">
        <v>3</v>
      </c>
      <c r="DO482">
        <v>0</v>
      </c>
    </row>
    <row r="483" spans="1:119" x14ac:dyDescent="0.2">
      <c r="A483">
        <f>ROW(Source!A491)</f>
        <v>491</v>
      </c>
      <c r="B483">
        <v>94798619</v>
      </c>
      <c r="C483">
        <v>94803414</v>
      </c>
      <c r="D483">
        <v>23129487</v>
      </c>
      <c r="E483">
        <v>1</v>
      </c>
      <c r="F483">
        <v>1</v>
      </c>
      <c r="G483">
        <v>1</v>
      </c>
      <c r="H483">
        <v>1</v>
      </c>
      <c r="I483" t="s">
        <v>915</v>
      </c>
      <c r="J483" t="s">
        <v>3</v>
      </c>
      <c r="K483" t="s">
        <v>916</v>
      </c>
      <c r="L483">
        <v>1369</v>
      </c>
      <c r="N483">
        <v>1013</v>
      </c>
      <c r="O483" t="s">
        <v>696</v>
      </c>
      <c r="P483" t="s">
        <v>696</v>
      </c>
      <c r="Q483">
        <v>1</v>
      </c>
      <c r="W483">
        <v>0</v>
      </c>
      <c r="X483">
        <v>2002501603</v>
      </c>
      <c r="Y483">
        <f t="shared" si="218"/>
        <v>90.85</v>
      </c>
      <c r="AA483">
        <v>0</v>
      </c>
      <c r="AB483">
        <v>0</v>
      </c>
      <c r="AC483">
        <v>0</v>
      </c>
      <c r="AD483">
        <v>8.48</v>
      </c>
      <c r="AE483">
        <v>0</v>
      </c>
      <c r="AF483">
        <v>0</v>
      </c>
      <c r="AG483">
        <v>0</v>
      </c>
      <c r="AH483">
        <v>8.48</v>
      </c>
      <c r="AI483">
        <v>1</v>
      </c>
      <c r="AJ483">
        <v>1</v>
      </c>
      <c r="AK483">
        <v>1</v>
      </c>
      <c r="AL483">
        <v>1</v>
      </c>
      <c r="AM483">
        <v>-2</v>
      </c>
      <c r="AN483">
        <v>0</v>
      </c>
      <c r="AO483">
        <v>1</v>
      </c>
      <c r="AP483">
        <v>1</v>
      </c>
      <c r="AQ483">
        <v>0</v>
      </c>
      <c r="AR483">
        <v>0</v>
      </c>
      <c r="AS483" t="s">
        <v>3</v>
      </c>
      <c r="AT483">
        <v>90.85</v>
      </c>
      <c r="AU483" t="s">
        <v>3</v>
      </c>
      <c r="AV483">
        <v>1</v>
      </c>
      <c r="AW483">
        <v>2</v>
      </c>
      <c r="AX483">
        <v>94803415</v>
      </c>
      <c r="AY483">
        <v>1</v>
      </c>
      <c r="AZ483">
        <v>0</v>
      </c>
      <c r="BA483">
        <v>483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CU483">
        <f>ROUND(AT483*Source!I491*AH483*AL483,2)</f>
        <v>17.329999999999998</v>
      </c>
      <c r="CV483">
        <f>ROUND(Y483*Source!I491,9)</f>
        <v>2.0441250000000002</v>
      </c>
      <c r="CW483">
        <v>0</v>
      </c>
      <c r="CX483">
        <f>ROUND(Y483*Source!I491,9)</f>
        <v>2.0441250000000002</v>
      </c>
      <c r="CY483">
        <f>AD483</f>
        <v>8.48</v>
      </c>
      <c r="CZ483">
        <f>AH483</f>
        <v>8.48</v>
      </c>
      <c r="DA483">
        <f>AL483</f>
        <v>1</v>
      </c>
      <c r="DB483">
        <f t="shared" si="219"/>
        <v>770.41</v>
      </c>
      <c r="DC483">
        <f t="shared" si="220"/>
        <v>0</v>
      </c>
      <c r="DD483" t="s">
        <v>3</v>
      </c>
      <c r="DE483" t="s">
        <v>3</v>
      </c>
      <c r="DF483">
        <f>ROUND(ROUND(AE483,2)*CX483,2)</f>
        <v>0</v>
      </c>
      <c r="DG483">
        <f t="shared" si="221"/>
        <v>0</v>
      </c>
      <c r="DH483">
        <f t="shared" si="222"/>
        <v>0</v>
      </c>
      <c r="DI483">
        <f t="shared" si="203"/>
        <v>17.329999999999998</v>
      </c>
      <c r="DJ483">
        <f>DI483</f>
        <v>17.329999999999998</v>
      </c>
      <c r="DK483">
        <v>0</v>
      </c>
      <c r="DL483" t="s">
        <v>3</v>
      </c>
      <c r="DM483">
        <v>0</v>
      </c>
      <c r="DN483" t="s">
        <v>3</v>
      </c>
      <c r="DO483">
        <v>0</v>
      </c>
    </row>
    <row r="484" spans="1:119" x14ac:dyDescent="0.2">
      <c r="A484">
        <f>ROW(Source!A491)</f>
        <v>491</v>
      </c>
      <c r="B484">
        <v>94798619</v>
      </c>
      <c r="C484">
        <v>94803414</v>
      </c>
      <c r="D484">
        <v>121548</v>
      </c>
      <c r="E484">
        <v>1</v>
      </c>
      <c r="F484">
        <v>1</v>
      </c>
      <c r="G484">
        <v>1</v>
      </c>
      <c r="H484">
        <v>1</v>
      </c>
      <c r="I484" t="s">
        <v>28</v>
      </c>
      <c r="J484" t="s">
        <v>3</v>
      </c>
      <c r="K484" t="s">
        <v>705</v>
      </c>
      <c r="L484">
        <v>608254</v>
      </c>
      <c r="N484">
        <v>1013</v>
      </c>
      <c r="O484" t="s">
        <v>706</v>
      </c>
      <c r="P484" t="s">
        <v>706</v>
      </c>
      <c r="Q484">
        <v>1</v>
      </c>
      <c r="W484">
        <v>0</v>
      </c>
      <c r="X484">
        <v>-185737400</v>
      </c>
      <c r="Y484">
        <f t="shared" si="218"/>
        <v>0.5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1</v>
      </c>
      <c r="AJ484">
        <v>1</v>
      </c>
      <c r="AK484">
        <v>1</v>
      </c>
      <c r="AL484">
        <v>1</v>
      </c>
      <c r="AM484">
        <v>-2</v>
      </c>
      <c r="AN484">
        <v>0</v>
      </c>
      <c r="AO484">
        <v>1</v>
      </c>
      <c r="AP484">
        <v>1</v>
      </c>
      <c r="AQ484">
        <v>0</v>
      </c>
      <c r="AR484">
        <v>0</v>
      </c>
      <c r="AS484" t="s">
        <v>3</v>
      </c>
      <c r="AT484">
        <v>0.5</v>
      </c>
      <c r="AU484" t="s">
        <v>3</v>
      </c>
      <c r="AV484">
        <v>2</v>
      </c>
      <c r="AW484">
        <v>2</v>
      </c>
      <c r="AX484">
        <v>94803416</v>
      </c>
      <c r="AY484">
        <v>1</v>
      </c>
      <c r="AZ484">
        <v>0</v>
      </c>
      <c r="BA484">
        <v>484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CV484">
        <v>0</v>
      </c>
      <c r="CW484">
        <v>0</v>
      </c>
      <c r="CX484">
        <f>ROUND(Y484*Source!I491,9)</f>
        <v>1.125E-2</v>
      </c>
      <c r="CY484">
        <f>AD484</f>
        <v>0</v>
      </c>
      <c r="CZ484">
        <f>AH484</f>
        <v>0</v>
      </c>
      <c r="DA484">
        <f>AL484</f>
        <v>1</v>
      </c>
      <c r="DB484">
        <f t="shared" si="219"/>
        <v>0</v>
      </c>
      <c r="DC484">
        <f t="shared" si="220"/>
        <v>0</v>
      </c>
      <c r="DD484" t="s">
        <v>3</v>
      </c>
      <c r="DE484" t="s">
        <v>3</v>
      </c>
      <c r="DF484">
        <f>ROUND(ROUND(AE484,2)*CX484,2)</f>
        <v>0</v>
      </c>
      <c r="DG484">
        <f t="shared" si="221"/>
        <v>0</v>
      </c>
      <c r="DH484">
        <f t="shared" si="222"/>
        <v>0</v>
      </c>
      <c r="DI484">
        <f t="shared" si="203"/>
        <v>0</v>
      </c>
      <c r="DJ484">
        <f>DI484</f>
        <v>0</v>
      </c>
      <c r="DK484">
        <v>0</v>
      </c>
      <c r="DL484" t="s">
        <v>3</v>
      </c>
      <c r="DM484">
        <v>0</v>
      </c>
      <c r="DN484" t="s">
        <v>3</v>
      </c>
      <c r="DO484">
        <v>0</v>
      </c>
    </row>
    <row r="485" spans="1:119" x14ac:dyDescent="0.2">
      <c r="A485">
        <f>ROW(Source!A491)</f>
        <v>491</v>
      </c>
      <c r="B485">
        <v>94798619</v>
      </c>
      <c r="C485">
        <v>94803414</v>
      </c>
      <c r="D485">
        <v>37802359</v>
      </c>
      <c r="E485">
        <v>1</v>
      </c>
      <c r="F485">
        <v>1</v>
      </c>
      <c r="G485">
        <v>1</v>
      </c>
      <c r="H485">
        <v>2</v>
      </c>
      <c r="I485" t="s">
        <v>886</v>
      </c>
      <c r="J485" t="s">
        <v>887</v>
      </c>
      <c r="K485" t="s">
        <v>888</v>
      </c>
      <c r="L485">
        <v>1368</v>
      </c>
      <c r="N485">
        <v>1011</v>
      </c>
      <c r="O485" t="s">
        <v>700</v>
      </c>
      <c r="P485" t="s">
        <v>700</v>
      </c>
      <c r="Q485">
        <v>1</v>
      </c>
      <c r="W485">
        <v>0</v>
      </c>
      <c r="X485">
        <v>1604115853</v>
      </c>
      <c r="Y485">
        <f t="shared" si="218"/>
        <v>0.42</v>
      </c>
      <c r="AA485">
        <v>0</v>
      </c>
      <c r="AB485">
        <v>1247.05</v>
      </c>
      <c r="AC485">
        <v>426.77</v>
      </c>
      <c r="AD485">
        <v>0</v>
      </c>
      <c r="AE485">
        <v>0</v>
      </c>
      <c r="AF485">
        <v>103.49</v>
      </c>
      <c r="AG485">
        <v>12.1</v>
      </c>
      <c r="AH485">
        <v>0</v>
      </c>
      <c r="AI485">
        <v>1</v>
      </c>
      <c r="AJ485">
        <v>12.05</v>
      </c>
      <c r="AK485">
        <v>35.270000000000003</v>
      </c>
      <c r="AL485">
        <v>1</v>
      </c>
      <c r="AM485">
        <v>2</v>
      </c>
      <c r="AN485">
        <v>0</v>
      </c>
      <c r="AO485">
        <v>1</v>
      </c>
      <c r="AP485">
        <v>1</v>
      </c>
      <c r="AQ485">
        <v>0</v>
      </c>
      <c r="AR485">
        <v>0</v>
      </c>
      <c r="AS485" t="s">
        <v>3</v>
      </c>
      <c r="AT485">
        <v>0.42</v>
      </c>
      <c r="AU485" t="s">
        <v>3</v>
      </c>
      <c r="AV485">
        <v>0</v>
      </c>
      <c r="AW485">
        <v>2</v>
      </c>
      <c r="AX485">
        <v>94803417</v>
      </c>
      <c r="AY485">
        <v>1</v>
      </c>
      <c r="AZ485">
        <v>0</v>
      </c>
      <c r="BA485">
        <v>485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CV485">
        <v>0</v>
      </c>
      <c r="CW485">
        <f>ROUND(Y485*Source!I491*DO485,9)</f>
        <v>0</v>
      </c>
      <c r="CX485">
        <f>ROUND(Y485*Source!I491,9)</f>
        <v>9.4500000000000001E-3</v>
      </c>
      <c r="CY485">
        <f>AB485</f>
        <v>1247.05</v>
      </c>
      <c r="CZ485">
        <f>AF485</f>
        <v>103.49</v>
      </c>
      <c r="DA485">
        <f>AJ485</f>
        <v>12.05</v>
      </c>
      <c r="DB485">
        <f t="shared" si="219"/>
        <v>43.47</v>
      </c>
      <c r="DC485">
        <f t="shared" si="220"/>
        <v>5.08</v>
      </c>
      <c r="DD485" t="s">
        <v>3</v>
      </c>
      <c r="DE485" t="s">
        <v>3</v>
      </c>
      <c r="DF485">
        <f>ROUND(ROUND(AE485,2)*CX485,2)</f>
        <v>0</v>
      </c>
      <c r="DG485">
        <f>ROUND(ROUND(AF485*AJ485,2)*CX485,2)</f>
        <v>11.78</v>
      </c>
      <c r="DH485">
        <f>ROUND(ROUND(AG485*AK485,2)*CX485,2)</f>
        <v>4.03</v>
      </c>
      <c r="DI485">
        <f t="shared" si="203"/>
        <v>0</v>
      </c>
      <c r="DJ485">
        <f>DG485</f>
        <v>11.78</v>
      </c>
      <c r="DK485">
        <v>0</v>
      </c>
      <c r="DL485" t="s">
        <v>3</v>
      </c>
      <c r="DM485">
        <v>0</v>
      </c>
      <c r="DN485" t="s">
        <v>3</v>
      </c>
      <c r="DO485">
        <v>0</v>
      </c>
    </row>
    <row r="486" spans="1:119" x14ac:dyDescent="0.2">
      <c r="A486">
        <f>ROW(Source!A491)</f>
        <v>491</v>
      </c>
      <c r="B486">
        <v>94798619</v>
      </c>
      <c r="C486">
        <v>94803414</v>
      </c>
      <c r="D486">
        <v>37802443</v>
      </c>
      <c r="E486">
        <v>1</v>
      </c>
      <c r="F486">
        <v>1</v>
      </c>
      <c r="G486">
        <v>1</v>
      </c>
      <c r="H486">
        <v>2</v>
      </c>
      <c r="I486" t="s">
        <v>721</v>
      </c>
      <c r="J486" t="s">
        <v>722</v>
      </c>
      <c r="K486" t="s">
        <v>723</v>
      </c>
      <c r="L486">
        <v>1368</v>
      </c>
      <c r="N486">
        <v>1011</v>
      </c>
      <c r="O486" t="s">
        <v>700</v>
      </c>
      <c r="P486" t="s">
        <v>700</v>
      </c>
      <c r="Q486">
        <v>1</v>
      </c>
      <c r="W486">
        <v>0</v>
      </c>
      <c r="X486">
        <v>1447433125</v>
      </c>
      <c r="Y486">
        <f t="shared" si="218"/>
        <v>0.08</v>
      </c>
      <c r="AA486">
        <v>0</v>
      </c>
      <c r="AB486">
        <v>1453.68</v>
      </c>
      <c r="AC486">
        <v>426.77</v>
      </c>
      <c r="AD486">
        <v>0</v>
      </c>
      <c r="AE486">
        <v>0</v>
      </c>
      <c r="AF486">
        <v>124.14</v>
      </c>
      <c r="AG486">
        <v>12.1</v>
      </c>
      <c r="AH486">
        <v>0</v>
      </c>
      <c r="AI486">
        <v>1</v>
      </c>
      <c r="AJ486">
        <v>11.71</v>
      </c>
      <c r="AK486">
        <v>35.270000000000003</v>
      </c>
      <c r="AL486">
        <v>1</v>
      </c>
      <c r="AM486">
        <v>2</v>
      </c>
      <c r="AN486">
        <v>0</v>
      </c>
      <c r="AO486">
        <v>1</v>
      </c>
      <c r="AP486">
        <v>1</v>
      </c>
      <c r="AQ486">
        <v>0</v>
      </c>
      <c r="AR486">
        <v>0</v>
      </c>
      <c r="AS486" t="s">
        <v>3</v>
      </c>
      <c r="AT486">
        <v>0.08</v>
      </c>
      <c r="AU486" t="s">
        <v>3</v>
      </c>
      <c r="AV486">
        <v>0</v>
      </c>
      <c r="AW486">
        <v>2</v>
      </c>
      <c r="AX486">
        <v>94803418</v>
      </c>
      <c r="AY486">
        <v>1</v>
      </c>
      <c r="AZ486">
        <v>0</v>
      </c>
      <c r="BA486">
        <v>486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CV486">
        <v>0</v>
      </c>
      <c r="CW486">
        <f>ROUND(Y486*Source!I491*DO486,9)</f>
        <v>0</v>
      </c>
      <c r="CX486">
        <f>ROUND(Y486*Source!I491,9)</f>
        <v>1.8E-3</v>
      </c>
      <c r="CY486">
        <f>AB486</f>
        <v>1453.68</v>
      </c>
      <c r="CZ486">
        <f>AF486</f>
        <v>124.14</v>
      </c>
      <c r="DA486">
        <f>AJ486</f>
        <v>11.71</v>
      </c>
      <c r="DB486">
        <f t="shared" si="219"/>
        <v>9.93</v>
      </c>
      <c r="DC486">
        <f t="shared" si="220"/>
        <v>0.97</v>
      </c>
      <c r="DD486" t="s">
        <v>3</v>
      </c>
      <c r="DE486" t="s">
        <v>3</v>
      </c>
      <c r="DF486">
        <f>ROUND(ROUND(AE486,2)*CX486,2)</f>
        <v>0</v>
      </c>
      <c r="DG486">
        <f>ROUND(ROUND(AF486*AJ486,2)*CX486,2)</f>
        <v>2.62</v>
      </c>
      <c r="DH486">
        <f>ROUND(ROUND(AG486*AK486,2)*CX486,2)</f>
        <v>0.77</v>
      </c>
      <c r="DI486">
        <f t="shared" si="203"/>
        <v>0</v>
      </c>
      <c r="DJ486">
        <f>DG486</f>
        <v>2.62</v>
      </c>
      <c r="DK486">
        <v>0</v>
      </c>
      <c r="DL486" t="s">
        <v>3</v>
      </c>
      <c r="DM486">
        <v>0</v>
      </c>
      <c r="DN486" t="s">
        <v>3</v>
      </c>
      <c r="DO486">
        <v>0</v>
      </c>
    </row>
    <row r="487" spans="1:119" x14ac:dyDescent="0.2">
      <c r="A487">
        <f>ROW(Source!A491)</f>
        <v>491</v>
      </c>
      <c r="B487">
        <v>94798619</v>
      </c>
      <c r="C487">
        <v>94803414</v>
      </c>
      <c r="D487">
        <v>37804456</v>
      </c>
      <c r="E487">
        <v>1</v>
      </c>
      <c r="F487">
        <v>1</v>
      </c>
      <c r="G487">
        <v>1</v>
      </c>
      <c r="H487">
        <v>2</v>
      </c>
      <c r="I487" t="s">
        <v>713</v>
      </c>
      <c r="J487" t="s">
        <v>714</v>
      </c>
      <c r="K487" t="s">
        <v>715</v>
      </c>
      <c r="L487">
        <v>1368</v>
      </c>
      <c r="N487">
        <v>1011</v>
      </c>
      <c r="O487" t="s">
        <v>700</v>
      </c>
      <c r="P487" t="s">
        <v>700</v>
      </c>
      <c r="Q487">
        <v>1</v>
      </c>
      <c r="W487">
        <v>0</v>
      </c>
      <c r="X487">
        <v>-671646184</v>
      </c>
      <c r="Y487">
        <f t="shared" si="218"/>
        <v>0.13</v>
      </c>
      <c r="AA487">
        <v>0</v>
      </c>
      <c r="AB487">
        <v>1305.74</v>
      </c>
      <c r="AC487">
        <v>365.04</v>
      </c>
      <c r="AD487">
        <v>0</v>
      </c>
      <c r="AE487">
        <v>0</v>
      </c>
      <c r="AF487">
        <v>91.76</v>
      </c>
      <c r="AG487">
        <v>10.35</v>
      </c>
      <c r="AH487">
        <v>0</v>
      </c>
      <c r="AI487">
        <v>1</v>
      </c>
      <c r="AJ487">
        <v>14.23</v>
      </c>
      <c r="AK487">
        <v>35.270000000000003</v>
      </c>
      <c r="AL487">
        <v>1</v>
      </c>
      <c r="AM487">
        <v>2</v>
      </c>
      <c r="AN487">
        <v>0</v>
      </c>
      <c r="AO487">
        <v>1</v>
      </c>
      <c r="AP487">
        <v>1</v>
      </c>
      <c r="AQ487">
        <v>0</v>
      </c>
      <c r="AR487">
        <v>0</v>
      </c>
      <c r="AS487" t="s">
        <v>3</v>
      </c>
      <c r="AT487">
        <v>0.13</v>
      </c>
      <c r="AU487" t="s">
        <v>3</v>
      </c>
      <c r="AV487">
        <v>0</v>
      </c>
      <c r="AW487">
        <v>2</v>
      </c>
      <c r="AX487">
        <v>94803419</v>
      </c>
      <c r="AY487">
        <v>1</v>
      </c>
      <c r="AZ487">
        <v>0</v>
      </c>
      <c r="BA487">
        <v>487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CV487">
        <v>0</v>
      </c>
      <c r="CW487">
        <f>ROUND(Y487*Source!I491*DO487,9)</f>
        <v>0</v>
      </c>
      <c r="CX487">
        <f>ROUND(Y487*Source!I491,9)</f>
        <v>2.9250000000000001E-3</v>
      </c>
      <c r="CY487">
        <f>AB487</f>
        <v>1305.74</v>
      </c>
      <c r="CZ487">
        <f>AF487</f>
        <v>91.76</v>
      </c>
      <c r="DA487">
        <f>AJ487</f>
        <v>14.23</v>
      </c>
      <c r="DB487">
        <f t="shared" si="219"/>
        <v>11.93</v>
      </c>
      <c r="DC487">
        <f t="shared" si="220"/>
        <v>1.35</v>
      </c>
      <c r="DD487" t="s">
        <v>3</v>
      </c>
      <c r="DE487" t="s">
        <v>3</v>
      </c>
      <c r="DF487">
        <f>ROUND(ROUND(AE487,2)*CX487,2)</f>
        <v>0</v>
      </c>
      <c r="DG487">
        <f>ROUND(ROUND(AF487*AJ487,2)*CX487,2)</f>
        <v>3.82</v>
      </c>
      <c r="DH487">
        <f>ROUND(ROUND(AG487*AK487,2)*CX487,2)</f>
        <v>1.07</v>
      </c>
      <c r="DI487">
        <f t="shared" si="203"/>
        <v>0</v>
      </c>
      <c r="DJ487">
        <f>DG487</f>
        <v>3.82</v>
      </c>
      <c r="DK487">
        <v>0</v>
      </c>
      <c r="DL487" t="s">
        <v>3</v>
      </c>
      <c r="DM487">
        <v>0</v>
      </c>
      <c r="DN487" t="s">
        <v>3</v>
      </c>
      <c r="DO487">
        <v>0</v>
      </c>
    </row>
    <row r="488" spans="1:119" x14ac:dyDescent="0.2">
      <c r="A488">
        <f>ROW(Source!A491)</f>
        <v>491</v>
      </c>
      <c r="B488">
        <v>94798619</v>
      </c>
      <c r="C488">
        <v>94803414</v>
      </c>
      <c r="D488">
        <v>37736992</v>
      </c>
      <c r="E488">
        <v>1</v>
      </c>
      <c r="F488">
        <v>1</v>
      </c>
      <c r="G488">
        <v>1</v>
      </c>
      <c r="H488">
        <v>3</v>
      </c>
      <c r="I488" t="s">
        <v>1153</v>
      </c>
      <c r="J488" t="s">
        <v>1154</v>
      </c>
      <c r="K488" t="s">
        <v>1155</v>
      </c>
      <c r="L488">
        <v>1348</v>
      </c>
      <c r="N488">
        <v>1009</v>
      </c>
      <c r="O488" t="s">
        <v>170</v>
      </c>
      <c r="P488" t="s">
        <v>170</v>
      </c>
      <c r="Q488">
        <v>1000</v>
      </c>
      <c r="W488">
        <v>0</v>
      </c>
      <c r="X488">
        <v>-1999067301</v>
      </c>
      <c r="Y488">
        <f t="shared" si="218"/>
        <v>7.1000000000000004E-3</v>
      </c>
      <c r="AA488">
        <v>196082.13</v>
      </c>
      <c r="AB488">
        <v>0</v>
      </c>
      <c r="AC488">
        <v>0</v>
      </c>
      <c r="AD488">
        <v>0</v>
      </c>
      <c r="AE488">
        <v>9167</v>
      </c>
      <c r="AF488">
        <v>0</v>
      </c>
      <c r="AG488">
        <v>0</v>
      </c>
      <c r="AH488">
        <v>0</v>
      </c>
      <c r="AI488">
        <v>21.39</v>
      </c>
      <c r="AJ488">
        <v>1</v>
      </c>
      <c r="AK488">
        <v>1</v>
      </c>
      <c r="AL488">
        <v>1</v>
      </c>
      <c r="AM488">
        <v>2</v>
      </c>
      <c r="AN488">
        <v>0</v>
      </c>
      <c r="AO488">
        <v>1</v>
      </c>
      <c r="AP488">
        <v>1</v>
      </c>
      <c r="AQ488">
        <v>0</v>
      </c>
      <c r="AR488">
        <v>0</v>
      </c>
      <c r="AS488" t="s">
        <v>3</v>
      </c>
      <c r="AT488">
        <v>7.1000000000000004E-3</v>
      </c>
      <c r="AU488" t="s">
        <v>3</v>
      </c>
      <c r="AV488">
        <v>0</v>
      </c>
      <c r="AW488">
        <v>2</v>
      </c>
      <c r="AX488">
        <v>94803420</v>
      </c>
      <c r="AY488">
        <v>1</v>
      </c>
      <c r="AZ488">
        <v>0</v>
      </c>
      <c r="BA488">
        <v>488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CV488">
        <v>0</v>
      </c>
      <c r="CW488">
        <v>0</v>
      </c>
      <c r="CX488">
        <f>ROUND(Y488*Source!I491,9)</f>
        <v>1.5975000000000001E-4</v>
      </c>
      <c r="CY488">
        <f>AA488</f>
        <v>196082.13</v>
      </c>
      <c r="CZ488">
        <f>AE488</f>
        <v>9167</v>
      </c>
      <c r="DA488">
        <f>AI488</f>
        <v>21.39</v>
      </c>
      <c r="DB488">
        <f t="shared" si="219"/>
        <v>65.09</v>
      </c>
      <c r="DC488">
        <f t="shared" si="220"/>
        <v>0</v>
      </c>
      <c r="DD488" t="s">
        <v>3</v>
      </c>
      <c r="DE488" t="s">
        <v>3</v>
      </c>
      <c r="DF488">
        <f>ROUND(ROUND(AE488*AI488,2)*CX488,2)</f>
        <v>31.32</v>
      </c>
      <c r="DG488">
        <f>ROUND(ROUND(AF488,2)*CX488,2)</f>
        <v>0</v>
      </c>
      <c r="DH488">
        <f>ROUND(ROUND(AG488,2)*CX488,2)</f>
        <v>0</v>
      </c>
      <c r="DI488">
        <f t="shared" si="203"/>
        <v>0</v>
      </c>
      <c r="DJ488">
        <f>DF488</f>
        <v>31.32</v>
      </c>
      <c r="DK488">
        <v>0</v>
      </c>
      <c r="DL488" t="s">
        <v>3</v>
      </c>
      <c r="DM488">
        <v>0</v>
      </c>
      <c r="DN488" t="s">
        <v>3</v>
      </c>
      <c r="DO488">
        <v>0</v>
      </c>
    </row>
    <row r="489" spans="1:119" x14ac:dyDescent="0.2">
      <c r="A489">
        <f>ROW(Source!A491)</f>
        <v>491</v>
      </c>
      <c r="B489">
        <v>94798619</v>
      </c>
      <c r="C489">
        <v>94803414</v>
      </c>
      <c r="D489">
        <v>37735405</v>
      </c>
      <c r="E489">
        <v>1</v>
      </c>
      <c r="F489">
        <v>1</v>
      </c>
      <c r="G489">
        <v>1</v>
      </c>
      <c r="H489">
        <v>3</v>
      </c>
      <c r="I489" t="s">
        <v>1054</v>
      </c>
      <c r="J489" t="s">
        <v>1055</v>
      </c>
      <c r="K489" t="s">
        <v>1056</v>
      </c>
      <c r="L489">
        <v>1348</v>
      </c>
      <c r="N489">
        <v>1009</v>
      </c>
      <c r="O489" t="s">
        <v>170</v>
      </c>
      <c r="P489" t="s">
        <v>170</v>
      </c>
      <c r="Q489">
        <v>1000</v>
      </c>
      <c r="W489">
        <v>0</v>
      </c>
      <c r="X489">
        <v>-2108161735</v>
      </c>
      <c r="Y489">
        <f t="shared" si="218"/>
        <v>5.1999999999999998E-2</v>
      </c>
      <c r="AA489">
        <v>60069.67</v>
      </c>
      <c r="AB489">
        <v>0</v>
      </c>
      <c r="AC489">
        <v>0</v>
      </c>
      <c r="AD489">
        <v>0</v>
      </c>
      <c r="AE489">
        <v>5989</v>
      </c>
      <c r="AF489">
        <v>0</v>
      </c>
      <c r="AG489">
        <v>0</v>
      </c>
      <c r="AH489">
        <v>0</v>
      </c>
      <c r="AI489">
        <v>10.029999999999999</v>
      </c>
      <c r="AJ489">
        <v>1</v>
      </c>
      <c r="AK489">
        <v>1</v>
      </c>
      <c r="AL489">
        <v>1</v>
      </c>
      <c r="AM489">
        <v>2</v>
      </c>
      <c r="AN489">
        <v>0</v>
      </c>
      <c r="AO489">
        <v>1</v>
      </c>
      <c r="AP489">
        <v>1</v>
      </c>
      <c r="AQ489">
        <v>0</v>
      </c>
      <c r="AR489">
        <v>0</v>
      </c>
      <c r="AS489" t="s">
        <v>3</v>
      </c>
      <c r="AT489">
        <v>5.1999999999999998E-2</v>
      </c>
      <c r="AU489" t="s">
        <v>3</v>
      </c>
      <c r="AV489">
        <v>0</v>
      </c>
      <c r="AW489">
        <v>2</v>
      </c>
      <c r="AX489">
        <v>94803421</v>
      </c>
      <c r="AY489">
        <v>1</v>
      </c>
      <c r="AZ489">
        <v>0</v>
      </c>
      <c r="BA489">
        <v>489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CV489">
        <v>0</v>
      </c>
      <c r="CW489">
        <v>0</v>
      </c>
      <c r="CX489">
        <f>ROUND(Y489*Source!I491,9)</f>
        <v>1.17E-3</v>
      </c>
      <c r="CY489">
        <f>AA489</f>
        <v>60069.67</v>
      </c>
      <c r="CZ489">
        <f>AE489</f>
        <v>5989</v>
      </c>
      <c r="DA489">
        <f>AI489</f>
        <v>10.029999999999999</v>
      </c>
      <c r="DB489">
        <f t="shared" si="219"/>
        <v>311.43</v>
      </c>
      <c r="DC489">
        <f t="shared" si="220"/>
        <v>0</v>
      </c>
      <c r="DD489" t="s">
        <v>3</v>
      </c>
      <c r="DE489" t="s">
        <v>3</v>
      </c>
      <c r="DF489">
        <f>ROUND(ROUND(AE489*AI489,2)*CX489,2)</f>
        <v>70.28</v>
      </c>
      <c r="DG489">
        <f>ROUND(ROUND(AF489,2)*CX489,2)</f>
        <v>0</v>
      </c>
      <c r="DH489">
        <f>ROUND(ROUND(AG489,2)*CX489,2)</f>
        <v>0</v>
      </c>
      <c r="DI489">
        <f t="shared" si="203"/>
        <v>0</v>
      </c>
      <c r="DJ489">
        <f>DF489</f>
        <v>70.28</v>
      </c>
      <c r="DK489">
        <v>0</v>
      </c>
      <c r="DL489" t="s">
        <v>3</v>
      </c>
      <c r="DM489">
        <v>0</v>
      </c>
      <c r="DN489" t="s">
        <v>3</v>
      </c>
      <c r="DO489">
        <v>0</v>
      </c>
    </row>
    <row r="490" spans="1:119" x14ac:dyDescent="0.2">
      <c r="A490">
        <f>ROW(Source!A491)</f>
        <v>491</v>
      </c>
      <c r="B490">
        <v>94798619</v>
      </c>
      <c r="C490">
        <v>94803414</v>
      </c>
      <c r="D490">
        <v>37735848</v>
      </c>
      <c r="E490">
        <v>1</v>
      </c>
      <c r="F490">
        <v>1</v>
      </c>
      <c r="G490">
        <v>1</v>
      </c>
      <c r="H490">
        <v>3</v>
      </c>
      <c r="I490" t="s">
        <v>1165</v>
      </c>
      <c r="J490" t="s">
        <v>1166</v>
      </c>
      <c r="K490" t="s">
        <v>1167</v>
      </c>
      <c r="L490">
        <v>1348</v>
      </c>
      <c r="N490">
        <v>1009</v>
      </c>
      <c r="O490" t="s">
        <v>170</v>
      </c>
      <c r="P490" t="s">
        <v>170</v>
      </c>
      <c r="Q490">
        <v>1000</v>
      </c>
      <c r="W490">
        <v>0</v>
      </c>
      <c r="X490">
        <v>1559125146</v>
      </c>
      <c r="Y490">
        <f t="shared" si="218"/>
        <v>0.87</v>
      </c>
      <c r="AA490">
        <v>104048</v>
      </c>
      <c r="AB490">
        <v>0</v>
      </c>
      <c r="AC490">
        <v>0</v>
      </c>
      <c r="AD490">
        <v>0</v>
      </c>
      <c r="AE490">
        <v>11200</v>
      </c>
      <c r="AF490">
        <v>0</v>
      </c>
      <c r="AG490">
        <v>0</v>
      </c>
      <c r="AH490">
        <v>0</v>
      </c>
      <c r="AI490">
        <v>9.2899999999999991</v>
      </c>
      <c r="AJ490">
        <v>1</v>
      </c>
      <c r="AK490">
        <v>1</v>
      </c>
      <c r="AL490">
        <v>1</v>
      </c>
      <c r="AM490">
        <v>2</v>
      </c>
      <c r="AN490">
        <v>0</v>
      </c>
      <c r="AO490">
        <v>1</v>
      </c>
      <c r="AP490">
        <v>1</v>
      </c>
      <c r="AQ490">
        <v>0</v>
      </c>
      <c r="AR490">
        <v>0</v>
      </c>
      <c r="AS490" t="s">
        <v>3</v>
      </c>
      <c r="AT490">
        <v>0.87</v>
      </c>
      <c r="AU490" t="s">
        <v>3</v>
      </c>
      <c r="AV490">
        <v>0</v>
      </c>
      <c r="AW490">
        <v>2</v>
      </c>
      <c r="AX490">
        <v>94803422</v>
      </c>
      <c r="AY490">
        <v>1</v>
      </c>
      <c r="AZ490">
        <v>0</v>
      </c>
      <c r="BA490">
        <v>490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CV490">
        <v>0</v>
      </c>
      <c r="CW490">
        <v>0</v>
      </c>
      <c r="CX490">
        <f>ROUND(Y490*Source!I491,9)</f>
        <v>1.9574999999999999E-2</v>
      </c>
      <c r="CY490">
        <f>AA490</f>
        <v>104048</v>
      </c>
      <c r="CZ490">
        <f>AE490</f>
        <v>11200</v>
      </c>
      <c r="DA490">
        <f>AI490</f>
        <v>9.2899999999999991</v>
      </c>
      <c r="DB490">
        <f t="shared" si="219"/>
        <v>9744</v>
      </c>
      <c r="DC490">
        <f t="shared" si="220"/>
        <v>0</v>
      </c>
      <c r="DD490" t="s">
        <v>3</v>
      </c>
      <c r="DE490" t="s">
        <v>3</v>
      </c>
      <c r="DF490">
        <f>ROUND(ROUND(AE490*AI490,2)*CX490,2)</f>
        <v>2036.74</v>
      </c>
      <c r="DG490">
        <f>ROUND(ROUND(AF490,2)*CX490,2)</f>
        <v>0</v>
      </c>
      <c r="DH490">
        <f>ROUND(ROUND(AG490,2)*CX490,2)</f>
        <v>0</v>
      </c>
      <c r="DI490">
        <f t="shared" si="203"/>
        <v>0</v>
      </c>
      <c r="DJ490">
        <f>DF490</f>
        <v>2036.74</v>
      </c>
      <c r="DK490">
        <v>0</v>
      </c>
      <c r="DL490" t="s">
        <v>3</v>
      </c>
      <c r="DM490">
        <v>0</v>
      </c>
      <c r="DN490" t="s">
        <v>3</v>
      </c>
      <c r="DO490">
        <v>0</v>
      </c>
    </row>
    <row r="491" spans="1:119" x14ac:dyDescent="0.2">
      <c r="A491">
        <f>ROW(Source!A491)</f>
        <v>491</v>
      </c>
      <c r="B491">
        <v>94798619</v>
      </c>
      <c r="C491">
        <v>94803414</v>
      </c>
      <c r="D491">
        <v>37738212</v>
      </c>
      <c r="E491">
        <v>1</v>
      </c>
      <c r="F491">
        <v>1</v>
      </c>
      <c r="G491">
        <v>1</v>
      </c>
      <c r="H491">
        <v>3</v>
      </c>
      <c r="I491" t="s">
        <v>1136</v>
      </c>
      <c r="J491" t="s">
        <v>1137</v>
      </c>
      <c r="K491" t="s">
        <v>1138</v>
      </c>
      <c r="L491">
        <v>1339</v>
      </c>
      <c r="N491">
        <v>1007</v>
      </c>
      <c r="O491" t="s">
        <v>52</v>
      </c>
      <c r="P491" t="s">
        <v>52</v>
      </c>
      <c r="Q491">
        <v>1</v>
      </c>
      <c r="W491">
        <v>0</v>
      </c>
      <c r="X491">
        <v>1656702119</v>
      </c>
      <c r="Y491">
        <f t="shared" si="218"/>
        <v>1.8</v>
      </c>
      <c r="AA491">
        <v>18569.28</v>
      </c>
      <c r="AB491">
        <v>0</v>
      </c>
      <c r="AC491">
        <v>0</v>
      </c>
      <c r="AD491">
        <v>0</v>
      </c>
      <c r="AE491">
        <v>1104</v>
      </c>
      <c r="AF491">
        <v>0</v>
      </c>
      <c r="AG491">
        <v>0</v>
      </c>
      <c r="AH491">
        <v>0</v>
      </c>
      <c r="AI491">
        <v>16.82</v>
      </c>
      <c r="AJ491">
        <v>1</v>
      </c>
      <c r="AK491">
        <v>1</v>
      </c>
      <c r="AL491">
        <v>1</v>
      </c>
      <c r="AM491">
        <v>2</v>
      </c>
      <c r="AN491">
        <v>0</v>
      </c>
      <c r="AO491">
        <v>1</v>
      </c>
      <c r="AP491">
        <v>1</v>
      </c>
      <c r="AQ491">
        <v>0</v>
      </c>
      <c r="AR491">
        <v>0</v>
      </c>
      <c r="AS491" t="s">
        <v>3</v>
      </c>
      <c r="AT491">
        <v>1.8</v>
      </c>
      <c r="AU491" t="s">
        <v>3</v>
      </c>
      <c r="AV491">
        <v>0</v>
      </c>
      <c r="AW491">
        <v>2</v>
      </c>
      <c r="AX491">
        <v>94803423</v>
      </c>
      <c r="AY491">
        <v>1</v>
      </c>
      <c r="AZ491">
        <v>0</v>
      </c>
      <c r="BA491">
        <v>491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CV491">
        <v>0</v>
      </c>
      <c r="CW491">
        <v>0</v>
      </c>
      <c r="CX491">
        <f>ROUND(Y491*Source!I491,9)</f>
        <v>4.0500000000000001E-2</v>
      </c>
      <c r="CY491">
        <f>AA491</f>
        <v>18569.28</v>
      </c>
      <c r="CZ491">
        <f>AE491</f>
        <v>1104</v>
      </c>
      <c r="DA491">
        <f>AI491</f>
        <v>16.82</v>
      </c>
      <c r="DB491">
        <f t="shared" si="219"/>
        <v>1987.2</v>
      </c>
      <c r="DC491">
        <f t="shared" si="220"/>
        <v>0</v>
      </c>
      <c r="DD491" t="s">
        <v>3</v>
      </c>
      <c r="DE491" t="s">
        <v>3</v>
      </c>
      <c r="DF491">
        <f>ROUND(ROUND(AE491*AI491,2)*CX491,2)</f>
        <v>752.06</v>
      </c>
      <c r="DG491">
        <f>ROUND(ROUND(AF491,2)*CX491,2)</f>
        <v>0</v>
      </c>
      <c r="DH491">
        <f>ROUND(ROUND(AG491,2)*CX491,2)</f>
        <v>0</v>
      </c>
      <c r="DI491">
        <f t="shared" si="203"/>
        <v>0</v>
      </c>
      <c r="DJ491">
        <f>DF491</f>
        <v>752.06</v>
      </c>
      <c r="DK491">
        <v>0</v>
      </c>
      <c r="DL491" t="s">
        <v>3</v>
      </c>
      <c r="DM491">
        <v>0</v>
      </c>
      <c r="DN491" t="s">
        <v>3</v>
      </c>
      <c r="DO491">
        <v>0</v>
      </c>
    </row>
    <row r="492" spans="1:119" x14ac:dyDescent="0.2">
      <c r="A492">
        <f>ROW(Source!A492)</f>
        <v>492</v>
      </c>
      <c r="B492">
        <v>94798619</v>
      </c>
      <c r="C492">
        <v>94803429</v>
      </c>
      <c r="D492">
        <v>23176489</v>
      </c>
      <c r="E492">
        <v>1</v>
      </c>
      <c r="F492">
        <v>1</v>
      </c>
      <c r="G492">
        <v>1</v>
      </c>
      <c r="H492">
        <v>1</v>
      </c>
      <c r="I492" t="s">
        <v>1168</v>
      </c>
      <c r="J492" t="s">
        <v>3</v>
      </c>
      <c r="K492" t="s">
        <v>1169</v>
      </c>
      <c r="L492">
        <v>1369</v>
      </c>
      <c r="N492">
        <v>1013</v>
      </c>
      <c r="O492" t="s">
        <v>696</v>
      </c>
      <c r="P492" t="s">
        <v>696</v>
      </c>
      <c r="Q492">
        <v>1</v>
      </c>
      <c r="W492">
        <v>0</v>
      </c>
      <c r="X492">
        <v>725539904</v>
      </c>
      <c r="Y492">
        <f t="shared" si="218"/>
        <v>75.3</v>
      </c>
      <c r="AA492">
        <v>0</v>
      </c>
      <c r="AB492">
        <v>0</v>
      </c>
      <c r="AC492">
        <v>0</v>
      </c>
      <c r="AD492">
        <v>10.36</v>
      </c>
      <c r="AE492">
        <v>0</v>
      </c>
      <c r="AF492">
        <v>0</v>
      </c>
      <c r="AG492">
        <v>0</v>
      </c>
      <c r="AH492">
        <v>10.36</v>
      </c>
      <c r="AI492">
        <v>1</v>
      </c>
      <c r="AJ492">
        <v>1</v>
      </c>
      <c r="AK492">
        <v>1</v>
      </c>
      <c r="AL492">
        <v>1</v>
      </c>
      <c r="AM492">
        <v>-2</v>
      </c>
      <c r="AN492">
        <v>0</v>
      </c>
      <c r="AO492">
        <v>1</v>
      </c>
      <c r="AP492">
        <v>1</v>
      </c>
      <c r="AQ492">
        <v>0</v>
      </c>
      <c r="AR492">
        <v>0</v>
      </c>
      <c r="AS492" t="s">
        <v>3</v>
      </c>
      <c r="AT492">
        <v>75.3</v>
      </c>
      <c r="AU492" t="s">
        <v>3</v>
      </c>
      <c r="AV492">
        <v>1</v>
      </c>
      <c r="AW492">
        <v>2</v>
      </c>
      <c r="AX492">
        <v>94803430</v>
      </c>
      <c r="AY492">
        <v>1</v>
      </c>
      <c r="AZ492">
        <v>0</v>
      </c>
      <c r="BA492">
        <v>492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CU492">
        <f>ROUND(AT492*Source!I492*AH492*AL492,2)</f>
        <v>15.6</v>
      </c>
      <c r="CV492">
        <f>ROUND(Y492*Source!I492,9)</f>
        <v>1.506</v>
      </c>
      <c r="CW492">
        <v>0</v>
      </c>
      <c r="CX492">
        <f>ROUND(Y492*Source!I492,9)</f>
        <v>1.506</v>
      </c>
      <c r="CY492">
        <f>AD492</f>
        <v>10.36</v>
      </c>
      <c r="CZ492">
        <f>AH492</f>
        <v>10.36</v>
      </c>
      <c r="DA492">
        <f>AL492</f>
        <v>1</v>
      </c>
      <c r="DB492">
        <f t="shared" si="219"/>
        <v>780.11</v>
      </c>
      <c r="DC492">
        <f t="shared" si="220"/>
        <v>0</v>
      </c>
      <c r="DD492" t="s">
        <v>3</v>
      </c>
      <c r="DE492" t="s">
        <v>3</v>
      </c>
      <c r="DF492">
        <f>ROUND(ROUND(AE492,2)*CX492,2)</f>
        <v>0</v>
      </c>
      <c r="DG492">
        <f>ROUND(ROUND(AF492,2)*CX492,2)</f>
        <v>0</v>
      </c>
      <c r="DH492">
        <f>ROUND(ROUND(AG492,2)*CX492,2)</f>
        <v>0</v>
      </c>
      <c r="DI492">
        <f t="shared" si="203"/>
        <v>15.6</v>
      </c>
      <c r="DJ492">
        <f>DI492</f>
        <v>15.6</v>
      </c>
      <c r="DK492">
        <v>0</v>
      </c>
      <c r="DL492" t="s">
        <v>3</v>
      </c>
      <c r="DM492">
        <v>0</v>
      </c>
      <c r="DN492" t="s">
        <v>3</v>
      </c>
      <c r="DO492">
        <v>0</v>
      </c>
    </row>
    <row r="493" spans="1:119" x14ac:dyDescent="0.2">
      <c r="A493">
        <f>ROW(Source!A492)</f>
        <v>492</v>
      </c>
      <c r="B493">
        <v>94798619</v>
      </c>
      <c r="C493">
        <v>94803429</v>
      </c>
      <c r="D493">
        <v>37803303</v>
      </c>
      <c r="E493">
        <v>1</v>
      </c>
      <c r="F493">
        <v>1</v>
      </c>
      <c r="G493">
        <v>1</v>
      </c>
      <c r="H493">
        <v>2</v>
      </c>
      <c r="I493" t="s">
        <v>1170</v>
      </c>
      <c r="J493" t="s">
        <v>1171</v>
      </c>
      <c r="K493" t="s">
        <v>1172</v>
      </c>
      <c r="L493">
        <v>1368</v>
      </c>
      <c r="N493">
        <v>1011</v>
      </c>
      <c r="O493" t="s">
        <v>700</v>
      </c>
      <c r="P493" t="s">
        <v>700</v>
      </c>
      <c r="Q493">
        <v>1</v>
      </c>
      <c r="W493">
        <v>0</v>
      </c>
      <c r="X493">
        <v>325281995</v>
      </c>
      <c r="Y493">
        <f t="shared" si="218"/>
        <v>4.8</v>
      </c>
      <c r="AA493">
        <v>0</v>
      </c>
      <c r="AB493">
        <v>21.44</v>
      </c>
      <c r="AC493">
        <v>0</v>
      </c>
      <c r="AD493">
        <v>0</v>
      </c>
      <c r="AE493">
        <v>0</v>
      </c>
      <c r="AF493">
        <v>1.98</v>
      </c>
      <c r="AG493">
        <v>0</v>
      </c>
      <c r="AH493">
        <v>0</v>
      </c>
      <c r="AI493">
        <v>1</v>
      </c>
      <c r="AJ493">
        <v>10.83</v>
      </c>
      <c r="AK493">
        <v>35.270000000000003</v>
      </c>
      <c r="AL493">
        <v>1</v>
      </c>
      <c r="AM493">
        <v>2</v>
      </c>
      <c r="AN493">
        <v>0</v>
      </c>
      <c r="AO493">
        <v>1</v>
      </c>
      <c r="AP493">
        <v>1</v>
      </c>
      <c r="AQ493">
        <v>0</v>
      </c>
      <c r="AR493">
        <v>0</v>
      </c>
      <c r="AS493" t="s">
        <v>3</v>
      </c>
      <c r="AT493">
        <v>4.8</v>
      </c>
      <c r="AU493" t="s">
        <v>3</v>
      </c>
      <c r="AV493">
        <v>0</v>
      </c>
      <c r="AW493">
        <v>2</v>
      </c>
      <c r="AX493">
        <v>94803431</v>
      </c>
      <c r="AY493">
        <v>1</v>
      </c>
      <c r="AZ493">
        <v>0</v>
      </c>
      <c r="BA493">
        <v>493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CV493">
        <v>0</v>
      </c>
      <c r="CW493">
        <f>ROUND(Y493*Source!I492*DO493,9)</f>
        <v>0</v>
      </c>
      <c r="CX493">
        <f>ROUND(Y493*Source!I492,9)</f>
        <v>9.6000000000000002E-2</v>
      </c>
      <c r="CY493">
        <f>AB493</f>
        <v>21.44</v>
      </c>
      <c r="CZ493">
        <f>AF493</f>
        <v>1.98</v>
      </c>
      <c r="DA493">
        <f>AJ493</f>
        <v>10.83</v>
      </c>
      <c r="DB493">
        <f t="shared" si="219"/>
        <v>9.5</v>
      </c>
      <c r="DC493">
        <f t="shared" si="220"/>
        <v>0</v>
      </c>
      <c r="DD493" t="s">
        <v>3</v>
      </c>
      <c r="DE493" t="s">
        <v>3</v>
      </c>
      <c r="DF493">
        <f>ROUND(ROUND(AE493,2)*CX493,2)</f>
        <v>0</v>
      </c>
      <c r="DG493">
        <f>ROUND(ROUND(AF493*AJ493,2)*CX493,2)</f>
        <v>2.06</v>
      </c>
      <c r="DH493">
        <f>ROUND(ROUND(AG493*AK493,2)*CX493,2)</f>
        <v>0</v>
      </c>
      <c r="DI493">
        <f t="shared" si="203"/>
        <v>0</v>
      </c>
      <c r="DJ493">
        <f>DG493</f>
        <v>2.06</v>
      </c>
      <c r="DK493">
        <v>0</v>
      </c>
      <c r="DL493" t="s">
        <v>3</v>
      </c>
      <c r="DM493">
        <v>0</v>
      </c>
      <c r="DN493" t="s">
        <v>3</v>
      </c>
      <c r="DO493">
        <v>0</v>
      </c>
    </row>
    <row r="494" spans="1:119" x14ac:dyDescent="0.2">
      <c r="A494">
        <f>ROW(Source!A492)</f>
        <v>492</v>
      </c>
      <c r="B494">
        <v>94798619</v>
      </c>
      <c r="C494">
        <v>94803429</v>
      </c>
      <c r="D494">
        <v>37804456</v>
      </c>
      <c r="E494">
        <v>1</v>
      </c>
      <c r="F494">
        <v>1</v>
      </c>
      <c r="G494">
        <v>1</v>
      </c>
      <c r="H494">
        <v>2</v>
      </c>
      <c r="I494" t="s">
        <v>713</v>
      </c>
      <c r="J494" t="s">
        <v>714</v>
      </c>
      <c r="K494" t="s">
        <v>715</v>
      </c>
      <c r="L494">
        <v>1368</v>
      </c>
      <c r="N494">
        <v>1011</v>
      </c>
      <c r="O494" t="s">
        <v>700</v>
      </c>
      <c r="P494" t="s">
        <v>700</v>
      </c>
      <c r="Q494">
        <v>1</v>
      </c>
      <c r="W494">
        <v>0</v>
      </c>
      <c r="X494">
        <v>-671646184</v>
      </c>
      <c r="Y494">
        <f t="shared" si="218"/>
        <v>0.05</v>
      </c>
      <c r="AA494">
        <v>0</v>
      </c>
      <c r="AB494">
        <v>1305.74</v>
      </c>
      <c r="AC494">
        <v>365.04</v>
      </c>
      <c r="AD494">
        <v>0</v>
      </c>
      <c r="AE494">
        <v>0</v>
      </c>
      <c r="AF494">
        <v>91.76</v>
      </c>
      <c r="AG494">
        <v>10.35</v>
      </c>
      <c r="AH494">
        <v>0</v>
      </c>
      <c r="AI494">
        <v>1</v>
      </c>
      <c r="AJ494">
        <v>14.23</v>
      </c>
      <c r="AK494">
        <v>35.270000000000003</v>
      </c>
      <c r="AL494">
        <v>1</v>
      </c>
      <c r="AM494">
        <v>2</v>
      </c>
      <c r="AN494">
        <v>0</v>
      </c>
      <c r="AO494">
        <v>1</v>
      </c>
      <c r="AP494">
        <v>1</v>
      </c>
      <c r="AQ494">
        <v>0</v>
      </c>
      <c r="AR494">
        <v>0</v>
      </c>
      <c r="AS494" t="s">
        <v>3</v>
      </c>
      <c r="AT494">
        <v>0.05</v>
      </c>
      <c r="AU494" t="s">
        <v>3</v>
      </c>
      <c r="AV494">
        <v>0</v>
      </c>
      <c r="AW494">
        <v>2</v>
      </c>
      <c r="AX494">
        <v>94803432</v>
      </c>
      <c r="AY494">
        <v>1</v>
      </c>
      <c r="AZ494">
        <v>0</v>
      </c>
      <c r="BA494">
        <v>494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CV494">
        <v>0</v>
      </c>
      <c r="CW494">
        <f>ROUND(Y494*Source!I492*DO494,9)</f>
        <v>0</v>
      </c>
      <c r="CX494">
        <f>ROUND(Y494*Source!I492,9)</f>
        <v>1E-3</v>
      </c>
      <c r="CY494">
        <f>AB494</f>
        <v>1305.74</v>
      </c>
      <c r="CZ494">
        <f>AF494</f>
        <v>91.76</v>
      </c>
      <c r="DA494">
        <f>AJ494</f>
        <v>14.23</v>
      </c>
      <c r="DB494">
        <f t="shared" si="219"/>
        <v>4.59</v>
      </c>
      <c r="DC494">
        <f t="shared" si="220"/>
        <v>0.52</v>
      </c>
      <c r="DD494" t="s">
        <v>3</v>
      </c>
      <c r="DE494" t="s">
        <v>3</v>
      </c>
      <c r="DF494">
        <f>ROUND(ROUND(AE494,2)*CX494,2)</f>
        <v>0</v>
      </c>
      <c r="DG494">
        <f>ROUND(ROUND(AF494*AJ494,2)*CX494,2)</f>
        <v>1.31</v>
      </c>
      <c r="DH494">
        <f>ROUND(ROUND(AG494*AK494,2)*CX494,2)</f>
        <v>0.37</v>
      </c>
      <c r="DI494">
        <f t="shared" si="203"/>
        <v>0</v>
      </c>
      <c r="DJ494">
        <f>DG494</f>
        <v>1.31</v>
      </c>
      <c r="DK494">
        <v>0</v>
      </c>
      <c r="DL494" t="s">
        <v>3</v>
      </c>
      <c r="DM494">
        <v>0</v>
      </c>
      <c r="DN494" t="s">
        <v>3</v>
      </c>
      <c r="DO494">
        <v>0</v>
      </c>
    </row>
    <row r="495" spans="1:119" x14ac:dyDescent="0.2">
      <c r="A495">
        <f>ROW(Source!A492)</f>
        <v>492</v>
      </c>
      <c r="B495">
        <v>94798619</v>
      </c>
      <c r="C495">
        <v>94803429</v>
      </c>
      <c r="D495">
        <v>37737431</v>
      </c>
      <c r="E495">
        <v>1</v>
      </c>
      <c r="F495">
        <v>1</v>
      </c>
      <c r="G495">
        <v>1</v>
      </c>
      <c r="H495">
        <v>3</v>
      </c>
      <c r="I495" t="s">
        <v>1173</v>
      </c>
      <c r="J495" t="s">
        <v>1174</v>
      </c>
      <c r="K495" t="s">
        <v>1175</v>
      </c>
      <c r="L495">
        <v>1035</v>
      </c>
      <c r="N495">
        <v>1013</v>
      </c>
      <c r="O495" t="s">
        <v>289</v>
      </c>
      <c r="P495" t="s">
        <v>289</v>
      </c>
      <c r="Q495">
        <v>1</v>
      </c>
      <c r="W495">
        <v>0</v>
      </c>
      <c r="X495">
        <v>694243324</v>
      </c>
      <c r="Y495">
        <f t="shared" si="218"/>
        <v>100</v>
      </c>
      <c r="AA495">
        <v>239.49</v>
      </c>
      <c r="AB495">
        <v>0</v>
      </c>
      <c r="AC495">
        <v>0</v>
      </c>
      <c r="AD495">
        <v>0</v>
      </c>
      <c r="AE495">
        <v>27</v>
      </c>
      <c r="AF495">
        <v>0</v>
      </c>
      <c r="AG495">
        <v>0</v>
      </c>
      <c r="AH495">
        <v>0</v>
      </c>
      <c r="AI495">
        <v>8.8699999999999992</v>
      </c>
      <c r="AJ495">
        <v>1</v>
      </c>
      <c r="AK495">
        <v>1</v>
      </c>
      <c r="AL495">
        <v>1</v>
      </c>
      <c r="AM495">
        <v>2</v>
      </c>
      <c r="AN495">
        <v>0</v>
      </c>
      <c r="AO495">
        <v>1</v>
      </c>
      <c r="AP495">
        <v>1</v>
      </c>
      <c r="AQ495">
        <v>0</v>
      </c>
      <c r="AR495">
        <v>0</v>
      </c>
      <c r="AS495" t="s">
        <v>3</v>
      </c>
      <c r="AT495">
        <v>100</v>
      </c>
      <c r="AU495" t="s">
        <v>3</v>
      </c>
      <c r="AV495">
        <v>0</v>
      </c>
      <c r="AW495">
        <v>2</v>
      </c>
      <c r="AX495">
        <v>94803433</v>
      </c>
      <c r="AY495">
        <v>1</v>
      </c>
      <c r="AZ495">
        <v>0</v>
      </c>
      <c r="BA495">
        <v>495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CV495">
        <v>0</v>
      </c>
      <c r="CW495">
        <v>0</v>
      </c>
      <c r="CX495">
        <f>ROUND(Y495*Source!I492,9)</f>
        <v>2</v>
      </c>
      <c r="CY495">
        <f>AA495</f>
        <v>239.49</v>
      </c>
      <c r="CZ495">
        <f>AE495</f>
        <v>27</v>
      </c>
      <c r="DA495">
        <f>AI495</f>
        <v>8.8699999999999992</v>
      </c>
      <c r="DB495">
        <f t="shared" si="219"/>
        <v>2700</v>
      </c>
      <c r="DC495">
        <f t="shared" si="220"/>
        <v>0</v>
      </c>
      <c r="DD495" t="s">
        <v>3</v>
      </c>
      <c r="DE495" t="s">
        <v>3</v>
      </c>
      <c r="DF495">
        <f>ROUND(ROUND(AE495*AI495,2)*CX495,2)</f>
        <v>478.98</v>
      </c>
      <c r="DG495">
        <f>ROUND(ROUND(AF495,2)*CX495,2)</f>
        <v>0</v>
      </c>
      <c r="DH495">
        <f>ROUND(ROUND(AG495,2)*CX495,2)</f>
        <v>0</v>
      </c>
      <c r="DI495">
        <f t="shared" si="203"/>
        <v>0</v>
      </c>
      <c r="DJ495">
        <f>DF495</f>
        <v>478.98</v>
      </c>
      <c r="DK495">
        <v>0</v>
      </c>
      <c r="DL495" t="s">
        <v>3</v>
      </c>
      <c r="DM495">
        <v>0</v>
      </c>
      <c r="DN495" t="s">
        <v>3</v>
      </c>
      <c r="DO495">
        <v>0</v>
      </c>
    </row>
    <row r="496" spans="1:119" x14ac:dyDescent="0.2">
      <c r="A496">
        <f>ROW(Source!A493)</f>
        <v>493</v>
      </c>
      <c r="B496">
        <v>94798619</v>
      </c>
      <c r="C496">
        <v>94803424</v>
      </c>
      <c r="D496">
        <v>23129805</v>
      </c>
      <c r="E496">
        <v>1</v>
      </c>
      <c r="F496">
        <v>1</v>
      </c>
      <c r="G496">
        <v>1</v>
      </c>
      <c r="H496">
        <v>1</v>
      </c>
      <c r="I496" t="s">
        <v>703</v>
      </c>
      <c r="J496" t="s">
        <v>3</v>
      </c>
      <c r="K496" t="s">
        <v>704</v>
      </c>
      <c r="L496">
        <v>1369</v>
      </c>
      <c r="N496">
        <v>1013</v>
      </c>
      <c r="O496" t="s">
        <v>696</v>
      </c>
      <c r="P496" t="s">
        <v>696</v>
      </c>
      <c r="Q496">
        <v>1</v>
      </c>
      <c r="W496">
        <v>0</v>
      </c>
      <c r="X496">
        <v>756115135</v>
      </c>
      <c r="Y496">
        <f t="shared" si="218"/>
        <v>99.6</v>
      </c>
      <c r="AA496">
        <v>0</v>
      </c>
      <c r="AB496">
        <v>0</v>
      </c>
      <c r="AC496">
        <v>0</v>
      </c>
      <c r="AD496">
        <v>7.97</v>
      </c>
      <c r="AE496">
        <v>0</v>
      </c>
      <c r="AF496">
        <v>0</v>
      </c>
      <c r="AG496">
        <v>0</v>
      </c>
      <c r="AH496">
        <v>7.97</v>
      </c>
      <c r="AI496">
        <v>1</v>
      </c>
      <c r="AJ496">
        <v>1</v>
      </c>
      <c r="AK496">
        <v>1</v>
      </c>
      <c r="AL496">
        <v>1</v>
      </c>
      <c r="AM496">
        <v>-2</v>
      </c>
      <c r="AN496">
        <v>0</v>
      </c>
      <c r="AO496">
        <v>1</v>
      </c>
      <c r="AP496">
        <v>1</v>
      </c>
      <c r="AQ496">
        <v>0</v>
      </c>
      <c r="AR496">
        <v>0</v>
      </c>
      <c r="AS496" t="s">
        <v>3</v>
      </c>
      <c r="AT496">
        <v>99.6</v>
      </c>
      <c r="AU496" t="s">
        <v>3</v>
      </c>
      <c r="AV496">
        <v>1</v>
      </c>
      <c r="AW496">
        <v>2</v>
      </c>
      <c r="AX496">
        <v>94803425</v>
      </c>
      <c r="AY496">
        <v>1</v>
      </c>
      <c r="AZ496">
        <v>0</v>
      </c>
      <c r="BA496">
        <v>496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CU496">
        <f>ROUND(AT496*Source!I493*AH496*AL496,2)</f>
        <v>15.88</v>
      </c>
      <c r="CV496">
        <f>ROUND(Y496*Source!I493,9)</f>
        <v>1.992</v>
      </c>
      <c r="CW496">
        <v>0</v>
      </c>
      <c r="CX496">
        <f>ROUND(Y496*Source!I493,9)</f>
        <v>1.992</v>
      </c>
      <c r="CY496">
        <f>AD496</f>
        <v>7.97</v>
      </c>
      <c r="CZ496">
        <f>AH496</f>
        <v>7.97</v>
      </c>
      <c r="DA496">
        <f>AL496</f>
        <v>1</v>
      </c>
      <c r="DB496">
        <f t="shared" si="219"/>
        <v>793.81</v>
      </c>
      <c r="DC496">
        <f t="shared" si="220"/>
        <v>0</v>
      </c>
      <c r="DD496" t="s">
        <v>3</v>
      </c>
      <c r="DE496" t="s">
        <v>3</v>
      </c>
      <c r="DF496">
        <f>ROUND(ROUND(AE496,2)*CX496,2)</f>
        <v>0</v>
      </c>
      <c r="DG496">
        <f>ROUND(ROUND(AF496,2)*CX496,2)</f>
        <v>0</v>
      </c>
      <c r="DH496">
        <f>ROUND(ROUND(AG496,2)*CX496,2)</f>
        <v>0</v>
      </c>
      <c r="DI496">
        <f t="shared" si="203"/>
        <v>15.88</v>
      </c>
      <c r="DJ496">
        <f>DI496</f>
        <v>15.88</v>
      </c>
      <c r="DK496">
        <v>0</v>
      </c>
      <c r="DL496" t="s">
        <v>3</v>
      </c>
      <c r="DM496">
        <v>0</v>
      </c>
      <c r="DN496" t="s">
        <v>3</v>
      </c>
      <c r="DO496">
        <v>0</v>
      </c>
    </row>
    <row r="497" spans="1:119" x14ac:dyDescent="0.2">
      <c r="A497">
        <f>ROW(Source!A493)</f>
        <v>493</v>
      </c>
      <c r="B497">
        <v>94798619</v>
      </c>
      <c r="C497">
        <v>94803424</v>
      </c>
      <c r="D497">
        <v>37737416</v>
      </c>
      <c r="E497">
        <v>1</v>
      </c>
      <c r="F497">
        <v>1</v>
      </c>
      <c r="G497">
        <v>1</v>
      </c>
      <c r="H497">
        <v>3</v>
      </c>
      <c r="I497" t="s">
        <v>283</v>
      </c>
      <c r="J497" t="s">
        <v>285</v>
      </c>
      <c r="K497" t="s">
        <v>284</v>
      </c>
      <c r="L497">
        <v>1354</v>
      </c>
      <c r="N497">
        <v>1010</v>
      </c>
      <c r="O497" t="s">
        <v>47</v>
      </c>
      <c r="P497" t="s">
        <v>47</v>
      </c>
      <c r="Q497">
        <v>1</v>
      </c>
      <c r="W497">
        <v>0</v>
      </c>
      <c r="X497">
        <v>-1107254297</v>
      </c>
      <c r="Y497">
        <f t="shared" si="218"/>
        <v>100</v>
      </c>
      <c r="AA497">
        <v>112.44</v>
      </c>
      <c r="AB497">
        <v>0</v>
      </c>
      <c r="AC497">
        <v>0</v>
      </c>
      <c r="AD497">
        <v>0</v>
      </c>
      <c r="AE497">
        <v>12</v>
      </c>
      <c r="AF497">
        <v>0</v>
      </c>
      <c r="AG497">
        <v>0</v>
      </c>
      <c r="AH497">
        <v>0</v>
      </c>
      <c r="AI497">
        <v>9.3699999999999992</v>
      </c>
      <c r="AJ497">
        <v>1</v>
      </c>
      <c r="AK497">
        <v>1</v>
      </c>
      <c r="AL497">
        <v>1</v>
      </c>
      <c r="AM497">
        <v>2</v>
      </c>
      <c r="AN497">
        <v>0</v>
      </c>
      <c r="AO497">
        <v>1</v>
      </c>
      <c r="AP497">
        <v>1</v>
      </c>
      <c r="AQ497">
        <v>0</v>
      </c>
      <c r="AR497">
        <v>0</v>
      </c>
      <c r="AS497" t="s">
        <v>3</v>
      </c>
      <c r="AT497">
        <v>100</v>
      </c>
      <c r="AU497" t="s">
        <v>3</v>
      </c>
      <c r="AV497">
        <v>0</v>
      </c>
      <c r="AW497">
        <v>2</v>
      </c>
      <c r="AX497">
        <v>94803426</v>
      </c>
      <c r="AY497">
        <v>1</v>
      </c>
      <c r="AZ497">
        <v>0</v>
      </c>
      <c r="BA497">
        <v>497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CV497">
        <v>0</v>
      </c>
      <c r="CW497">
        <v>0</v>
      </c>
      <c r="CX497">
        <f>ROUND(Y497*Source!I493,9)</f>
        <v>2</v>
      </c>
      <c r="CY497">
        <f>AA497</f>
        <v>112.44</v>
      </c>
      <c r="CZ497">
        <f>AE497</f>
        <v>12</v>
      </c>
      <c r="DA497">
        <f>AI497</f>
        <v>9.3699999999999992</v>
      </c>
      <c r="DB497">
        <f t="shared" si="219"/>
        <v>1200</v>
      </c>
      <c r="DC497">
        <f t="shared" si="220"/>
        <v>0</v>
      </c>
      <c r="DD497" t="s">
        <v>3</v>
      </c>
      <c r="DE497" t="s">
        <v>3</v>
      </c>
      <c r="DF497">
        <f>ROUND(ROUND(AE497*AI497,2)*CX497,2)</f>
        <v>224.88</v>
      </c>
      <c r="DG497">
        <f>ROUND(ROUND(AF497,2)*CX497,2)</f>
        <v>0</v>
      </c>
      <c r="DH497">
        <f>ROUND(ROUND(AG497,2)*CX497,2)</f>
        <v>0</v>
      </c>
      <c r="DI497">
        <f t="shared" si="203"/>
        <v>0</v>
      </c>
      <c r="DJ497">
        <f>DF497</f>
        <v>224.88</v>
      </c>
      <c r="DK497">
        <v>0</v>
      </c>
      <c r="DL497" t="s">
        <v>3</v>
      </c>
      <c r="DM497">
        <v>0</v>
      </c>
      <c r="DN497" t="s">
        <v>3</v>
      </c>
      <c r="DO497">
        <v>0</v>
      </c>
    </row>
    <row r="498" spans="1:119" x14ac:dyDescent="0.2">
      <c r="A498">
        <f>ROW(Source!A493)</f>
        <v>493</v>
      </c>
      <c r="B498">
        <v>94798619</v>
      </c>
      <c r="C498">
        <v>94803424</v>
      </c>
      <c r="D498">
        <v>37737276</v>
      </c>
      <c r="E498">
        <v>1</v>
      </c>
      <c r="F498">
        <v>1</v>
      </c>
      <c r="G498">
        <v>1</v>
      </c>
      <c r="H498">
        <v>3</v>
      </c>
      <c r="I498" t="s">
        <v>1176</v>
      </c>
      <c r="J498" t="s">
        <v>1177</v>
      </c>
      <c r="K498" t="s">
        <v>1178</v>
      </c>
      <c r="L498">
        <v>1348</v>
      </c>
      <c r="N498">
        <v>1009</v>
      </c>
      <c r="O498" t="s">
        <v>170</v>
      </c>
      <c r="P498" t="s">
        <v>170</v>
      </c>
      <c r="Q498">
        <v>1000</v>
      </c>
      <c r="W498">
        <v>0</v>
      </c>
      <c r="X498">
        <v>-1352804773</v>
      </c>
      <c r="Y498">
        <f t="shared" si="218"/>
        <v>1.6E-2</v>
      </c>
      <c r="AA498">
        <v>129851.1</v>
      </c>
      <c r="AB498">
        <v>0</v>
      </c>
      <c r="AC498">
        <v>0</v>
      </c>
      <c r="AD498">
        <v>0</v>
      </c>
      <c r="AE498">
        <v>16974</v>
      </c>
      <c r="AF498">
        <v>0</v>
      </c>
      <c r="AG498">
        <v>0</v>
      </c>
      <c r="AH498">
        <v>0</v>
      </c>
      <c r="AI498">
        <v>7.65</v>
      </c>
      <c r="AJ498">
        <v>1</v>
      </c>
      <c r="AK498">
        <v>1</v>
      </c>
      <c r="AL498">
        <v>1</v>
      </c>
      <c r="AM498">
        <v>2</v>
      </c>
      <c r="AN498">
        <v>0</v>
      </c>
      <c r="AO498">
        <v>1</v>
      </c>
      <c r="AP498">
        <v>1</v>
      </c>
      <c r="AQ498">
        <v>0</v>
      </c>
      <c r="AR498">
        <v>0</v>
      </c>
      <c r="AS498" t="s">
        <v>3</v>
      </c>
      <c r="AT498">
        <v>1.6E-2</v>
      </c>
      <c r="AU498" t="s">
        <v>3</v>
      </c>
      <c r="AV498">
        <v>0</v>
      </c>
      <c r="AW498">
        <v>2</v>
      </c>
      <c r="AX498">
        <v>94803427</v>
      </c>
      <c r="AY498">
        <v>1</v>
      </c>
      <c r="AZ498">
        <v>0</v>
      </c>
      <c r="BA498">
        <v>498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CV498">
        <v>0</v>
      </c>
      <c r="CW498">
        <v>0</v>
      </c>
      <c r="CX498">
        <f>ROUND(Y498*Source!I493,9)</f>
        <v>3.2000000000000003E-4</v>
      </c>
      <c r="CY498">
        <f>AA498</f>
        <v>129851.1</v>
      </c>
      <c r="CZ498">
        <f>AE498</f>
        <v>16974</v>
      </c>
      <c r="DA498">
        <f>AI498</f>
        <v>7.65</v>
      </c>
      <c r="DB498">
        <f t="shared" si="219"/>
        <v>271.58</v>
      </c>
      <c r="DC498">
        <f t="shared" si="220"/>
        <v>0</v>
      </c>
      <c r="DD498" t="s">
        <v>3</v>
      </c>
      <c r="DE498" t="s">
        <v>3</v>
      </c>
      <c r="DF498">
        <f>ROUND(ROUND(AE498*AI498,2)*CX498,2)</f>
        <v>41.55</v>
      </c>
      <c r="DG498">
        <f>ROUND(ROUND(AF498,2)*CX498,2)</f>
        <v>0</v>
      </c>
      <c r="DH498">
        <f>ROUND(ROUND(AG498,2)*CX498,2)</f>
        <v>0</v>
      </c>
      <c r="DI498">
        <f t="shared" si="203"/>
        <v>0</v>
      </c>
      <c r="DJ498">
        <f>DF498</f>
        <v>41.55</v>
      </c>
      <c r="DK498">
        <v>0</v>
      </c>
      <c r="DL498" t="s">
        <v>3</v>
      </c>
      <c r="DM498">
        <v>0</v>
      </c>
      <c r="DN498" t="s">
        <v>3</v>
      </c>
      <c r="DO49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9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94798815</v>
      </c>
      <c r="C1">
        <v>94798806</v>
      </c>
      <c r="D1">
        <v>23129438</v>
      </c>
      <c r="E1">
        <v>1</v>
      </c>
      <c r="F1">
        <v>1</v>
      </c>
      <c r="G1">
        <v>1</v>
      </c>
      <c r="H1">
        <v>1</v>
      </c>
      <c r="I1" t="s">
        <v>694</v>
      </c>
      <c r="J1" t="s">
        <v>3</v>
      </c>
      <c r="K1" t="s">
        <v>695</v>
      </c>
      <c r="L1">
        <v>1369</v>
      </c>
      <c r="N1">
        <v>1013</v>
      </c>
      <c r="O1" t="s">
        <v>696</v>
      </c>
      <c r="P1" t="s">
        <v>696</v>
      </c>
      <c r="Q1">
        <v>1</v>
      </c>
      <c r="X1">
        <v>5.21</v>
      </c>
      <c r="Y1">
        <v>0</v>
      </c>
      <c r="Z1">
        <v>0</v>
      </c>
      <c r="AA1">
        <v>0</v>
      </c>
      <c r="AB1">
        <v>8.7899999999999991</v>
      </c>
      <c r="AC1">
        <v>0</v>
      </c>
      <c r="AD1">
        <v>1</v>
      </c>
      <c r="AE1">
        <v>1</v>
      </c>
      <c r="AF1" t="s">
        <v>3</v>
      </c>
      <c r="AG1">
        <v>5.21</v>
      </c>
      <c r="AH1">
        <v>2</v>
      </c>
      <c r="AI1">
        <v>94798815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94798816</v>
      </c>
      <c r="C2">
        <v>94798806</v>
      </c>
      <c r="D2">
        <v>37804153</v>
      </c>
      <c r="E2">
        <v>1</v>
      </c>
      <c r="F2">
        <v>1</v>
      </c>
      <c r="G2">
        <v>1</v>
      </c>
      <c r="H2">
        <v>2</v>
      </c>
      <c r="I2" t="s">
        <v>697</v>
      </c>
      <c r="J2" t="s">
        <v>698</v>
      </c>
      <c r="K2" t="s">
        <v>699</v>
      </c>
      <c r="L2">
        <v>1368</v>
      </c>
      <c r="N2">
        <v>1011</v>
      </c>
      <c r="O2" t="s">
        <v>700</v>
      </c>
      <c r="P2" t="s">
        <v>700</v>
      </c>
      <c r="Q2">
        <v>1</v>
      </c>
      <c r="X2">
        <v>1.74</v>
      </c>
      <c r="Y2">
        <v>0</v>
      </c>
      <c r="Z2">
        <v>5.63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1.74</v>
      </c>
      <c r="AH2">
        <v>2</v>
      </c>
      <c r="AI2">
        <v>94798816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ROW(Source!A29)</f>
        <v>29</v>
      </c>
      <c r="B3">
        <v>94798825</v>
      </c>
      <c r="C3">
        <v>94798823</v>
      </c>
      <c r="D3">
        <v>23129555</v>
      </c>
      <c r="E3">
        <v>1</v>
      </c>
      <c r="F3">
        <v>1</v>
      </c>
      <c r="G3">
        <v>1</v>
      </c>
      <c r="H3">
        <v>1</v>
      </c>
      <c r="I3" t="s">
        <v>701</v>
      </c>
      <c r="J3" t="s">
        <v>3</v>
      </c>
      <c r="K3" t="s">
        <v>702</v>
      </c>
      <c r="L3">
        <v>1369</v>
      </c>
      <c r="N3">
        <v>1013</v>
      </c>
      <c r="O3" t="s">
        <v>696</v>
      </c>
      <c r="P3" t="s">
        <v>696</v>
      </c>
      <c r="Q3">
        <v>1</v>
      </c>
      <c r="X3">
        <v>41</v>
      </c>
      <c r="Y3">
        <v>0</v>
      </c>
      <c r="Z3">
        <v>0</v>
      </c>
      <c r="AA3">
        <v>0</v>
      </c>
      <c r="AB3">
        <v>7.29</v>
      </c>
      <c r="AC3">
        <v>0</v>
      </c>
      <c r="AD3">
        <v>1</v>
      </c>
      <c r="AE3">
        <v>1</v>
      </c>
      <c r="AF3" t="s">
        <v>3</v>
      </c>
      <c r="AG3">
        <v>41</v>
      </c>
      <c r="AH3">
        <v>2</v>
      </c>
      <c r="AI3">
        <v>94798825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ROW(Source!A30)</f>
        <v>30</v>
      </c>
      <c r="B4">
        <v>94798827</v>
      </c>
      <c r="C4">
        <v>94798826</v>
      </c>
      <c r="D4">
        <v>23129805</v>
      </c>
      <c r="E4">
        <v>1</v>
      </c>
      <c r="F4">
        <v>1</v>
      </c>
      <c r="G4">
        <v>1</v>
      </c>
      <c r="H4">
        <v>1</v>
      </c>
      <c r="I4" t="s">
        <v>703</v>
      </c>
      <c r="J4" t="s">
        <v>3</v>
      </c>
      <c r="K4" t="s">
        <v>704</v>
      </c>
      <c r="L4">
        <v>1369</v>
      </c>
      <c r="N4">
        <v>1013</v>
      </c>
      <c r="O4" t="s">
        <v>696</v>
      </c>
      <c r="P4" t="s">
        <v>696</v>
      </c>
      <c r="Q4">
        <v>1</v>
      </c>
      <c r="X4">
        <v>35.64</v>
      </c>
      <c r="Y4">
        <v>0</v>
      </c>
      <c r="Z4">
        <v>0</v>
      </c>
      <c r="AA4">
        <v>0</v>
      </c>
      <c r="AB4">
        <v>7.97</v>
      </c>
      <c r="AC4">
        <v>0</v>
      </c>
      <c r="AD4">
        <v>1</v>
      </c>
      <c r="AE4">
        <v>1</v>
      </c>
      <c r="AF4" t="s">
        <v>39</v>
      </c>
      <c r="AG4">
        <v>28.512</v>
      </c>
      <c r="AH4">
        <v>2</v>
      </c>
      <c r="AI4">
        <v>94798827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ROW(Source!A30)</f>
        <v>30</v>
      </c>
      <c r="B5">
        <v>94798828</v>
      </c>
      <c r="C5">
        <v>94798826</v>
      </c>
      <c r="D5">
        <v>121548</v>
      </c>
      <c r="E5">
        <v>1</v>
      </c>
      <c r="F5">
        <v>1</v>
      </c>
      <c r="G5">
        <v>1</v>
      </c>
      <c r="H5">
        <v>1</v>
      </c>
      <c r="I5" t="s">
        <v>28</v>
      </c>
      <c r="J5" t="s">
        <v>3</v>
      </c>
      <c r="K5" t="s">
        <v>705</v>
      </c>
      <c r="L5">
        <v>608254</v>
      </c>
      <c r="N5">
        <v>1013</v>
      </c>
      <c r="O5" t="s">
        <v>706</v>
      </c>
      <c r="P5" t="s">
        <v>706</v>
      </c>
      <c r="Q5">
        <v>1</v>
      </c>
      <c r="X5">
        <v>21.67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2</v>
      </c>
      <c r="AF5" t="s">
        <v>39</v>
      </c>
      <c r="AG5">
        <v>17.335999999999999</v>
      </c>
      <c r="AH5">
        <v>2</v>
      </c>
      <c r="AI5">
        <v>94798828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ROW(Source!A30)</f>
        <v>30</v>
      </c>
      <c r="B6">
        <v>94798829</v>
      </c>
      <c r="C6">
        <v>94798826</v>
      </c>
      <c r="D6">
        <v>37802953</v>
      </c>
      <c r="E6">
        <v>1</v>
      </c>
      <c r="F6">
        <v>1</v>
      </c>
      <c r="G6">
        <v>1</v>
      </c>
      <c r="H6">
        <v>2</v>
      </c>
      <c r="I6" t="s">
        <v>707</v>
      </c>
      <c r="J6" t="s">
        <v>708</v>
      </c>
      <c r="K6" t="s">
        <v>709</v>
      </c>
      <c r="L6">
        <v>1368</v>
      </c>
      <c r="N6">
        <v>1011</v>
      </c>
      <c r="O6" t="s">
        <v>700</v>
      </c>
      <c r="P6" t="s">
        <v>700</v>
      </c>
      <c r="Q6">
        <v>1</v>
      </c>
      <c r="X6">
        <v>10.74</v>
      </c>
      <c r="Y6">
        <v>0</v>
      </c>
      <c r="Z6">
        <v>189</v>
      </c>
      <c r="AA6">
        <v>12.1</v>
      </c>
      <c r="AB6">
        <v>0</v>
      </c>
      <c r="AC6">
        <v>0</v>
      </c>
      <c r="AD6">
        <v>1</v>
      </c>
      <c r="AE6">
        <v>0</v>
      </c>
      <c r="AF6" t="s">
        <v>39</v>
      </c>
      <c r="AG6">
        <v>8.5920000000000005</v>
      </c>
      <c r="AH6">
        <v>2</v>
      </c>
      <c r="AI6">
        <v>94798829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ROW(Source!A30)</f>
        <v>30</v>
      </c>
      <c r="B7">
        <v>94798830</v>
      </c>
      <c r="C7">
        <v>94798826</v>
      </c>
      <c r="D7">
        <v>37803498</v>
      </c>
      <c r="E7">
        <v>1</v>
      </c>
      <c r="F7">
        <v>1</v>
      </c>
      <c r="G7">
        <v>1</v>
      </c>
      <c r="H7">
        <v>2</v>
      </c>
      <c r="I7" t="s">
        <v>710</v>
      </c>
      <c r="J7" t="s">
        <v>711</v>
      </c>
      <c r="K7" t="s">
        <v>712</v>
      </c>
      <c r="L7">
        <v>1368</v>
      </c>
      <c r="N7">
        <v>1011</v>
      </c>
      <c r="O7" t="s">
        <v>700</v>
      </c>
      <c r="P7" t="s">
        <v>700</v>
      </c>
      <c r="Q7">
        <v>1</v>
      </c>
      <c r="X7">
        <v>10.93</v>
      </c>
      <c r="Y7">
        <v>0</v>
      </c>
      <c r="Z7">
        <v>123.86</v>
      </c>
      <c r="AA7">
        <v>10.35</v>
      </c>
      <c r="AB7">
        <v>0</v>
      </c>
      <c r="AC7">
        <v>0</v>
      </c>
      <c r="AD7">
        <v>1</v>
      </c>
      <c r="AE7">
        <v>0</v>
      </c>
      <c r="AF7" t="s">
        <v>39</v>
      </c>
      <c r="AG7">
        <v>8.7439999999999998</v>
      </c>
      <c r="AH7">
        <v>2</v>
      </c>
      <c r="AI7">
        <v>94798830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ROW(Source!A30)</f>
        <v>30</v>
      </c>
      <c r="B8">
        <v>94798831</v>
      </c>
      <c r="C8">
        <v>94798826</v>
      </c>
      <c r="D8">
        <v>37804456</v>
      </c>
      <c r="E8">
        <v>1</v>
      </c>
      <c r="F8">
        <v>1</v>
      </c>
      <c r="G8">
        <v>1</v>
      </c>
      <c r="H8">
        <v>2</v>
      </c>
      <c r="I8" t="s">
        <v>713</v>
      </c>
      <c r="J8" t="s">
        <v>714</v>
      </c>
      <c r="K8" t="s">
        <v>715</v>
      </c>
      <c r="L8">
        <v>1368</v>
      </c>
      <c r="N8">
        <v>1011</v>
      </c>
      <c r="O8" t="s">
        <v>700</v>
      </c>
      <c r="P8" t="s">
        <v>700</v>
      </c>
      <c r="Q8">
        <v>1</v>
      </c>
      <c r="X8">
        <v>0.81</v>
      </c>
      <c r="Y8">
        <v>0</v>
      </c>
      <c r="Z8">
        <v>91.76</v>
      </c>
      <c r="AA8">
        <v>10.35</v>
      </c>
      <c r="AB8">
        <v>0</v>
      </c>
      <c r="AC8">
        <v>0</v>
      </c>
      <c r="AD8">
        <v>1</v>
      </c>
      <c r="AE8">
        <v>0</v>
      </c>
      <c r="AF8" t="s">
        <v>39</v>
      </c>
      <c r="AG8">
        <v>0.64800000000000002</v>
      </c>
      <c r="AH8">
        <v>2</v>
      </c>
      <c r="AI8">
        <v>94798831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ROW(Source!A30)</f>
        <v>30</v>
      </c>
      <c r="B9">
        <v>94798832</v>
      </c>
      <c r="C9">
        <v>94798826</v>
      </c>
      <c r="D9">
        <v>37751670</v>
      </c>
      <c r="E9">
        <v>1</v>
      </c>
      <c r="F9">
        <v>1</v>
      </c>
      <c r="G9">
        <v>1</v>
      </c>
      <c r="H9">
        <v>3</v>
      </c>
      <c r="I9" t="s">
        <v>716</v>
      </c>
      <c r="J9" t="s">
        <v>717</v>
      </c>
      <c r="K9" t="s">
        <v>718</v>
      </c>
      <c r="L9">
        <v>1301</v>
      </c>
      <c r="N9">
        <v>1003</v>
      </c>
      <c r="O9" t="s">
        <v>368</v>
      </c>
      <c r="P9" t="s">
        <v>368</v>
      </c>
      <c r="Q9">
        <v>1</v>
      </c>
      <c r="X9">
        <v>55.9</v>
      </c>
      <c r="Y9">
        <v>4.2300000000000004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38</v>
      </c>
      <c r="AG9">
        <v>0</v>
      </c>
      <c r="AH9">
        <v>2</v>
      </c>
      <c r="AI9">
        <v>94798832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ROW(Source!A30)</f>
        <v>30</v>
      </c>
      <c r="B10">
        <v>94798833</v>
      </c>
      <c r="C10">
        <v>94798826</v>
      </c>
      <c r="D10">
        <v>37751161</v>
      </c>
      <c r="E10">
        <v>1</v>
      </c>
      <c r="F10">
        <v>1</v>
      </c>
      <c r="G10">
        <v>1</v>
      </c>
      <c r="H10">
        <v>3</v>
      </c>
      <c r="I10" t="s">
        <v>45</v>
      </c>
      <c r="J10" t="s">
        <v>48</v>
      </c>
      <c r="K10" t="s">
        <v>46</v>
      </c>
      <c r="L10">
        <v>1354</v>
      </c>
      <c r="N10">
        <v>1010</v>
      </c>
      <c r="O10" t="s">
        <v>47</v>
      </c>
      <c r="P10" t="s">
        <v>47</v>
      </c>
      <c r="Q10">
        <v>1</v>
      </c>
      <c r="X10">
        <v>100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38</v>
      </c>
      <c r="AG10">
        <v>0</v>
      </c>
      <c r="AH10">
        <v>2</v>
      </c>
      <c r="AI10">
        <v>94798833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ROW(Source!A30)</f>
        <v>30</v>
      </c>
      <c r="B11">
        <v>94798834</v>
      </c>
      <c r="C11">
        <v>94798826</v>
      </c>
      <c r="D11">
        <v>37767799</v>
      </c>
      <c r="E11">
        <v>1</v>
      </c>
      <c r="F11">
        <v>1</v>
      </c>
      <c r="G11">
        <v>1</v>
      </c>
      <c r="H11">
        <v>3</v>
      </c>
      <c r="I11" t="s">
        <v>50</v>
      </c>
      <c r="J11" t="s">
        <v>53</v>
      </c>
      <c r="K11" t="s">
        <v>51</v>
      </c>
      <c r="L11">
        <v>1339</v>
      </c>
      <c r="N11">
        <v>1007</v>
      </c>
      <c r="O11" t="s">
        <v>52</v>
      </c>
      <c r="P11" t="s">
        <v>52</v>
      </c>
      <c r="Q11">
        <v>1</v>
      </c>
      <c r="X11">
        <v>6.34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38</v>
      </c>
      <c r="AG11">
        <v>0</v>
      </c>
      <c r="AH11">
        <v>2</v>
      </c>
      <c r="AI11">
        <v>94798834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ROW(Source!A33)</f>
        <v>33</v>
      </c>
      <c r="B12">
        <v>94798892</v>
      </c>
      <c r="C12">
        <v>94798874</v>
      </c>
      <c r="D12">
        <v>23134628</v>
      </c>
      <c r="E12">
        <v>1</v>
      </c>
      <c r="F12">
        <v>1</v>
      </c>
      <c r="G12">
        <v>1</v>
      </c>
      <c r="H12">
        <v>1</v>
      </c>
      <c r="I12" t="s">
        <v>719</v>
      </c>
      <c r="J12" t="s">
        <v>3</v>
      </c>
      <c r="K12" t="s">
        <v>720</v>
      </c>
      <c r="L12">
        <v>1369</v>
      </c>
      <c r="N12">
        <v>1013</v>
      </c>
      <c r="O12" t="s">
        <v>696</v>
      </c>
      <c r="P12" t="s">
        <v>696</v>
      </c>
      <c r="Q12">
        <v>1</v>
      </c>
      <c r="X12">
        <v>190.75</v>
      </c>
      <c r="Y12">
        <v>0</v>
      </c>
      <c r="Z12">
        <v>0</v>
      </c>
      <c r="AA12">
        <v>0</v>
      </c>
      <c r="AB12">
        <v>8.68</v>
      </c>
      <c r="AC12">
        <v>0</v>
      </c>
      <c r="AD12">
        <v>1</v>
      </c>
      <c r="AE12">
        <v>1</v>
      </c>
      <c r="AF12" t="s">
        <v>59</v>
      </c>
      <c r="AG12">
        <v>133.52500000000001</v>
      </c>
      <c r="AH12">
        <v>2</v>
      </c>
      <c r="AI12">
        <v>94798892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ROW(Source!A33)</f>
        <v>33</v>
      </c>
      <c r="B13">
        <v>94798893</v>
      </c>
      <c r="C13">
        <v>94798874</v>
      </c>
      <c r="D13">
        <v>121548</v>
      </c>
      <c r="E13">
        <v>1</v>
      </c>
      <c r="F13">
        <v>1</v>
      </c>
      <c r="G13">
        <v>1</v>
      </c>
      <c r="H13">
        <v>1</v>
      </c>
      <c r="I13" t="s">
        <v>28</v>
      </c>
      <c r="J13" t="s">
        <v>3</v>
      </c>
      <c r="K13" t="s">
        <v>705</v>
      </c>
      <c r="L13">
        <v>608254</v>
      </c>
      <c r="N13">
        <v>1013</v>
      </c>
      <c r="O13" t="s">
        <v>706</v>
      </c>
      <c r="P13" t="s">
        <v>706</v>
      </c>
      <c r="Q13">
        <v>1</v>
      </c>
      <c r="X13">
        <v>20.22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2</v>
      </c>
      <c r="AF13" t="s">
        <v>59</v>
      </c>
      <c r="AG13">
        <v>14.154</v>
      </c>
      <c r="AH13">
        <v>2</v>
      </c>
      <c r="AI13">
        <v>94798893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ROW(Source!A33)</f>
        <v>33</v>
      </c>
      <c r="B14">
        <v>94798894</v>
      </c>
      <c r="C14">
        <v>94798874</v>
      </c>
      <c r="D14">
        <v>37802443</v>
      </c>
      <c r="E14">
        <v>1</v>
      </c>
      <c r="F14">
        <v>1</v>
      </c>
      <c r="G14">
        <v>1</v>
      </c>
      <c r="H14">
        <v>2</v>
      </c>
      <c r="I14" t="s">
        <v>721</v>
      </c>
      <c r="J14" t="s">
        <v>722</v>
      </c>
      <c r="K14" t="s">
        <v>723</v>
      </c>
      <c r="L14">
        <v>1368</v>
      </c>
      <c r="N14">
        <v>1011</v>
      </c>
      <c r="O14" t="s">
        <v>700</v>
      </c>
      <c r="P14" t="s">
        <v>700</v>
      </c>
      <c r="Q14">
        <v>1</v>
      </c>
      <c r="X14">
        <v>20.22</v>
      </c>
      <c r="Y14">
        <v>0</v>
      </c>
      <c r="Z14">
        <v>124.14</v>
      </c>
      <c r="AA14">
        <v>12.1</v>
      </c>
      <c r="AB14">
        <v>0</v>
      </c>
      <c r="AC14">
        <v>0</v>
      </c>
      <c r="AD14">
        <v>1</v>
      </c>
      <c r="AE14">
        <v>0</v>
      </c>
      <c r="AF14" t="s">
        <v>59</v>
      </c>
      <c r="AG14">
        <v>14.154</v>
      </c>
      <c r="AH14">
        <v>2</v>
      </c>
      <c r="AI14">
        <v>94798894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ROW(Source!A33)</f>
        <v>33</v>
      </c>
      <c r="B15">
        <v>94798895</v>
      </c>
      <c r="C15">
        <v>94798874</v>
      </c>
      <c r="D15">
        <v>37802643</v>
      </c>
      <c r="E15">
        <v>1</v>
      </c>
      <c r="F15">
        <v>1</v>
      </c>
      <c r="G15">
        <v>1</v>
      </c>
      <c r="H15">
        <v>2</v>
      </c>
      <c r="I15" t="s">
        <v>724</v>
      </c>
      <c r="J15" t="s">
        <v>725</v>
      </c>
      <c r="K15" t="s">
        <v>726</v>
      </c>
      <c r="L15">
        <v>1368</v>
      </c>
      <c r="N15">
        <v>1011</v>
      </c>
      <c r="O15" t="s">
        <v>700</v>
      </c>
      <c r="P15" t="s">
        <v>700</v>
      </c>
      <c r="Q15">
        <v>1</v>
      </c>
      <c r="X15">
        <v>6.91</v>
      </c>
      <c r="Y15">
        <v>0</v>
      </c>
      <c r="Z15">
        <v>20.350000000000001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59</v>
      </c>
      <c r="AG15">
        <v>4.8369999999999997</v>
      </c>
      <c r="AH15">
        <v>2</v>
      </c>
      <c r="AI15">
        <v>94798895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ROW(Source!A33)</f>
        <v>33</v>
      </c>
      <c r="B16">
        <v>94798896</v>
      </c>
      <c r="C16">
        <v>94798874</v>
      </c>
      <c r="D16">
        <v>37802894</v>
      </c>
      <c r="E16">
        <v>1</v>
      </c>
      <c r="F16">
        <v>1</v>
      </c>
      <c r="G16">
        <v>1</v>
      </c>
      <c r="H16">
        <v>2</v>
      </c>
      <c r="I16" t="s">
        <v>727</v>
      </c>
      <c r="J16" t="s">
        <v>728</v>
      </c>
      <c r="K16" t="s">
        <v>729</v>
      </c>
      <c r="L16">
        <v>1368</v>
      </c>
      <c r="N16">
        <v>1011</v>
      </c>
      <c r="O16" t="s">
        <v>700</v>
      </c>
      <c r="P16" t="s">
        <v>700</v>
      </c>
      <c r="Q16">
        <v>1</v>
      </c>
      <c r="X16">
        <v>0.4</v>
      </c>
      <c r="Y16">
        <v>0</v>
      </c>
      <c r="Z16">
        <v>8.0299999999999994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59</v>
      </c>
      <c r="AG16">
        <v>0.28000000000000003</v>
      </c>
      <c r="AH16">
        <v>2</v>
      </c>
      <c r="AI16">
        <v>94798896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ROW(Source!A33)</f>
        <v>33</v>
      </c>
      <c r="B17">
        <v>94798897</v>
      </c>
      <c r="C17">
        <v>94798874</v>
      </c>
      <c r="D17">
        <v>37804456</v>
      </c>
      <c r="E17">
        <v>1</v>
      </c>
      <c r="F17">
        <v>1</v>
      </c>
      <c r="G17">
        <v>1</v>
      </c>
      <c r="H17">
        <v>2</v>
      </c>
      <c r="I17" t="s">
        <v>713</v>
      </c>
      <c r="J17" t="s">
        <v>714</v>
      </c>
      <c r="K17" t="s">
        <v>715</v>
      </c>
      <c r="L17">
        <v>1368</v>
      </c>
      <c r="N17">
        <v>1011</v>
      </c>
      <c r="O17" t="s">
        <v>700</v>
      </c>
      <c r="P17" t="s">
        <v>700</v>
      </c>
      <c r="Q17">
        <v>1</v>
      </c>
      <c r="X17">
        <v>0.4</v>
      </c>
      <c r="Y17">
        <v>0</v>
      </c>
      <c r="Z17">
        <v>91.76</v>
      </c>
      <c r="AA17">
        <v>10.35</v>
      </c>
      <c r="AB17">
        <v>0</v>
      </c>
      <c r="AC17">
        <v>0</v>
      </c>
      <c r="AD17">
        <v>1</v>
      </c>
      <c r="AE17">
        <v>0</v>
      </c>
      <c r="AF17" t="s">
        <v>59</v>
      </c>
      <c r="AG17">
        <v>0.28000000000000003</v>
      </c>
      <c r="AH17">
        <v>2</v>
      </c>
      <c r="AI17">
        <v>94798897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ROW(Source!A33)</f>
        <v>33</v>
      </c>
      <c r="B18">
        <v>94798898</v>
      </c>
      <c r="C18">
        <v>94798874</v>
      </c>
      <c r="D18">
        <v>37736279</v>
      </c>
      <c r="E18">
        <v>1</v>
      </c>
      <c r="F18">
        <v>1</v>
      </c>
      <c r="G18">
        <v>1</v>
      </c>
      <c r="H18">
        <v>3</v>
      </c>
      <c r="I18" t="s">
        <v>730</v>
      </c>
      <c r="J18" t="s">
        <v>731</v>
      </c>
      <c r="K18" t="s">
        <v>732</v>
      </c>
      <c r="L18">
        <v>1348</v>
      </c>
      <c r="N18">
        <v>1009</v>
      </c>
      <c r="O18" t="s">
        <v>170</v>
      </c>
      <c r="P18" t="s">
        <v>170</v>
      </c>
      <c r="Q18">
        <v>1000</v>
      </c>
      <c r="X18">
        <v>1E-3</v>
      </c>
      <c r="Y18">
        <v>10200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38</v>
      </c>
      <c r="AG18">
        <v>0</v>
      </c>
      <c r="AH18">
        <v>2</v>
      </c>
      <c r="AI18">
        <v>94798898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ROW(Source!A33)</f>
        <v>33</v>
      </c>
      <c r="B19">
        <v>94798899</v>
      </c>
      <c r="C19">
        <v>94798874</v>
      </c>
      <c r="D19">
        <v>37735457</v>
      </c>
      <c r="E19">
        <v>1</v>
      </c>
      <c r="F19">
        <v>1</v>
      </c>
      <c r="G19">
        <v>1</v>
      </c>
      <c r="H19">
        <v>3</v>
      </c>
      <c r="I19" t="s">
        <v>733</v>
      </c>
      <c r="J19" t="s">
        <v>734</v>
      </c>
      <c r="K19" t="s">
        <v>735</v>
      </c>
      <c r="L19">
        <v>1327</v>
      </c>
      <c r="N19">
        <v>1005</v>
      </c>
      <c r="O19" t="s">
        <v>201</v>
      </c>
      <c r="P19" t="s">
        <v>201</v>
      </c>
      <c r="Q19">
        <v>1</v>
      </c>
      <c r="X19">
        <v>100</v>
      </c>
      <c r="Y19">
        <v>18.87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38</v>
      </c>
      <c r="AG19">
        <v>0</v>
      </c>
      <c r="AH19">
        <v>2</v>
      </c>
      <c r="AI19">
        <v>94798899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ROW(Source!A33)</f>
        <v>33</v>
      </c>
      <c r="B20">
        <v>94798900</v>
      </c>
      <c r="C20">
        <v>94798874</v>
      </c>
      <c r="D20">
        <v>37736612</v>
      </c>
      <c r="E20">
        <v>1</v>
      </c>
      <c r="F20">
        <v>1</v>
      </c>
      <c r="G20">
        <v>1</v>
      </c>
      <c r="H20">
        <v>3</v>
      </c>
      <c r="I20" t="s">
        <v>736</v>
      </c>
      <c r="J20" t="s">
        <v>737</v>
      </c>
      <c r="K20" t="s">
        <v>738</v>
      </c>
      <c r="L20">
        <v>1348</v>
      </c>
      <c r="N20">
        <v>1009</v>
      </c>
      <c r="O20" t="s">
        <v>170</v>
      </c>
      <c r="P20" t="s">
        <v>170</v>
      </c>
      <c r="Q20">
        <v>1000</v>
      </c>
      <c r="X20">
        <v>6.0000000000000001E-3</v>
      </c>
      <c r="Y20">
        <v>9424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38</v>
      </c>
      <c r="AG20">
        <v>0</v>
      </c>
      <c r="AH20">
        <v>2</v>
      </c>
      <c r="AI20">
        <v>94798900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ROW(Source!A33)</f>
        <v>33</v>
      </c>
      <c r="B21">
        <v>94798901</v>
      </c>
      <c r="C21">
        <v>94798874</v>
      </c>
      <c r="D21">
        <v>37751329</v>
      </c>
      <c r="E21">
        <v>1</v>
      </c>
      <c r="F21">
        <v>1</v>
      </c>
      <c r="G21">
        <v>1</v>
      </c>
      <c r="H21">
        <v>3</v>
      </c>
      <c r="I21" t="s">
        <v>739</v>
      </c>
      <c r="J21" t="s">
        <v>740</v>
      </c>
      <c r="K21" t="s">
        <v>741</v>
      </c>
      <c r="L21">
        <v>1348</v>
      </c>
      <c r="N21">
        <v>1009</v>
      </c>
      <c r="O21" t="s">
        <v>170</v>
      </c>
      <c r="P21" t="s">
        <v>170</v>
      </c>
      <c r="Q21">
        <v>1000</v>
      </c>
      <c r="X21">
        <v>2E-3</v>
      </c>
      <c r="Y21">
        <v>10045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38</v>
      </c>
      <c r="AG21">
        <v>0</v>
      </c>
      <c r="AH21">
        <v>2</v>
      </c>
      <c r="AI21">
        <v>94798901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ROW(Source!A33)</f>
        <v>33</v>
      </c>
      <c r="B22">
        <v>94798902</v>
      </c>
      <c r="C22">
        <v>94798874</v>
      </c>
      <c r="D22">
        <v>37753213</v>
      </c>
      <c r="E22">
        <v>1</v>
      </c>
      <c r="F22">
        <v>1</v>
      </c>
      <c r="G22">
        <v>1</v>
      </c>
      <c r="H22">
        <v>3</v>
      </c>
      <c r="I22" t="s">
        <v>742</v>
      </c>
      <c r="J22" t="s">
        <v>743</v>
      </c>
      <c r="K22" t="s">
        <v>744</v>
      </c>
      <c r="L22">
        <v>1348</v>
      </c>
      <c r="N22">
        <v>1009</v>
      </c>
      <c r="O22" t="s">
        <v>170</v>
      </c>
      <c r="P22" t="s">
        <v>170</v>
      </c>
      <c r="Q22">
        <v>1000</v>
      </c>
      <c r="X22">
        <v>0.14499999999999999</v>
      </c>
      <c r="Y22">
        <v>6260.66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38</v>
      </c>
      <c r="AG22">
        <v>0</v>
      </c>
      <c r="AH22">
        <v>2</v>
      </c>
      <c r="AI22">
        <v>94798902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ROW(Source!A33)</f>
        <v>33</v>
      </c>
      <c r="B23">
        <v>94798903</v>
      </c>
      <c r="C23">
        <v>94798874</v>
      </c>
      <c r="D23">
        <v>37767878</v>
      </c>
      <c r="E23">
        <v>1</v>
      </c>
      <c r="F23">
        <v>1</v>
      </c>
      <c r="G23">
        <v>1</v>
      </c>
      <c r="H23">
        <v>3</v>
      </c>
      <c r="I23" t="s">
        <v>745</v>
      </c>
      <c r="J23" t="s">
        <v>746</v>
      </c>
      <c r="K23" t="s">
        <v>747</v>
      </c>
      <c r="L23">
        <v>1339</v>
      </c>
      <c r="N23">
        <v>1007</v>
      </c>
      <c r="O23" t="s">
        <v>52</v>
      </c>
      <c r="P23" t="s">
        <v>52</v>
      </c>
      <c r="Q23">
        <v>1</v>
      </c>
      <c r="X23">
        <v>1.23</v>
      </c>
      <c r="Y23">
        <v>565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38</v>
      </c>
      <c r="AG23">
        <v>0</v>
      </c>
      <c r="AH23">
        <v>2</v>
      </c>
      <c r="AI23">
        <v>94798903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ROW(Source!A33)</f>
        <v>33</v>
      </c>
      <c r="B24">
        <v>94798904</v>
      </c>
      <c r="C24">
        <v>94798874</v>
      </c>
      <c r="D24">
        <v>37768002</v>
      </c>
      <c r="E24">
        <v>1</v>
      </c>
      <c r="F24">
        <v>1</v>
      </c>
      <c r="G24">
        <v>1</v>
      </c>
      <c r="H24">
        <v>3</v>
      </c>
      <c r="I24" t="s">
        <v>748</v>
      </c>
      <c r="J24" t="s">
        <v>749</v>
      </c>
      <c r="K24" t="s">
        <v>750</v>
      </c>
      <c r="L24">
        <v>1339</v>
      </c>
      <c r="N24">
        <v>1007</v>
      </c>
      <c r="O24" t="s">
        <v>52</v>
      </c>
      <c r="P24" t="s">
        <v>52</v>
      </c>
      <c r="Q24">
        <v>1</v>
      </c>
      <c r="X24">
        <v>7.0000000000000001E-3</v>
      </c>
      <c r="Y24">
        <v>389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38</v>
      </c>
      <c r="AG24">
        <v>0</v>
      </c>
      <c r="AH24">
        <v>2</v>
      </c>
      <c r="AI24">
        <v>94798904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ROW(Source!A33)</f>
        <v>33</v>
      </c>
      <c r="B25">
        <v>94798905</v>
      </c>
      <c r="C25">
        <v>94798874</v>
      </c>
      <c r="D25">
        <v>37776002</v>
      </c>
      <c r="E25">
        <v>1</v>
      </c>
      <c r="F25">
        <v>1</v>
      </c>
      <c r="G25">
        <v>1</v>
      </c>
      <c r="H25">
        <v>3</v>
      </c>
      <c r="I25" t="s">
        <v>65</v>
      </c>
      <c r="J25" t="s">
        <v>67</v>
      </c>
      <c r="K25" t="s">
        <v>66</v>
      </c>
      <c r="L25">
        <v>1354</v>
      </c>
      <c r="N25">
        <v>1010</v>
      </c>
      <c r="O25" t="s">
        <v>47</v>
      </c>
      <c r="P25" t="s">
        <v>47</v>
      </c>
      <c r="Q25">
        <v>1</v>
      </c>
      <c r="X25">
        <v>29.5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 t="s">
        <v>38</v>
      </c>
      <c r="AG25">
        <v>0</v>
      </c>
      <c r="AH25">
        <v>2</v>
      </c>
      <c r="AI25">
        <v>94798905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ROW(Source!A33)</f>
        <v>33</v>
      </c>
      <c r="B26">
        <v>94798906</v>
      </c>
      <c r="C26">
        <v>94798874</v>
      </c>
      <c r="D26">
        <v>37776723</v>
      </c>
      <c r="E26">
        <v>1</v>
      </c>
      <c r="F26">
        <v>1</v>
      </c>
      <c r="G26">
        <v>1</v>
      </c>
      <c r="H26">
        <v>3</v>
      </c>
      <c r="I26" t="s">
        <v>751</v>
      </c>
      <c r="J26" t="s">
        <v>752</v>
      </c>
      <c r="K26" t="s">
        <v>753</v>
      </c>
      <c r="L26">
        <v>1356</v>
      </c>
      <c r="N26">
        <v>1010</v>
      </c>
      <c r="O26" t="s">
        <v>754</v>
      </c>
      <c r="P26" t="s">
        <v>754</v>
      </c>
      <c r="Q26">
        <v>1000</v>
      </c>
      <c r="X26">
        <v>1.6E-2</v>
      </c>
      <c r="Y26">
        <v>794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38</v>
      </c>
      <c r="AG26">
        <v>0</v>
      </c>
      <c r="AH26">
        <v>2</v>
      </c>
      <c r="AI26">
        <v>94798906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ROW(Source!A35)</f>
        <v>35</v>
      </c>
      <c r="B27">
        <v>94798916</v>
      </c>
      <c r="C27">
        <v>94798909</v>
      </c>
      <c r="D27">
        <v>23132590</v>
      </c>
      <c r="E27">
        <v>1</v>
      </c>
      <c r="F27">
        <v>1</v>
      </c>
      <c r="G27">
        <v>1</v>
      </c>
      <c r="H27">
        <v>1</v>
      </c>
      <c r="I27" t="s">
        <v>755</v>
      </c>
      <c r="J27" t="s">
        <v>3</v>
      </c>
      <c r="K27" t="s">
        <v>756</v>
      </c>
      <c r="L27">
        <v>1369</v>
      </c>
      <c r="N27">
        <v>1013</v>
      </c>
      <c r="O27" t="s">
        <v>696</v>
      </c>
      <c r="P27" t="s">
        <v>696</v>
      </c>
      <c r="Q27">
        <v>1</v>
      </c>
      <c r="X27">
        <v>11.63</v>
      </c>
      <c r="Y27">
        <v>0</v>
      </c>
      <c r="Z27">
        <v>0</v>
      </c>
      <c r="AA27">
        <v>0</v>
      </c>
      <c r="AB27">
        <v>7.43</v>
      </c>
      <c r="AC27">
        <v>0</v>
      </c>
      <c r="AD27">
        <v>1</v>
      </c>
      <c r="AE27">
        <v>1</v>
      </c>
      <c r="AF27" t="s">
        <v>3</v>
      </c>
      <c r="AG27">
        <v>11.63</v>
      </c>
      <c r="AH27">
        <v>2</v>
      </c>
      <c r="AI27">
        <v>94798916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ROW(Source!A35)</f>
        <v>35</v>
      </c>
      <c r="B28">
        <v>94798917</v>
      </c>
      <c r="C28">
        <v>94798909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28</v>
      </c>
      <c r="J28" t="s">
        <v>3</v>
      </c>
      <c r="K28" t="s">
        <v>705</v>
      </c>
      <c r="L28">
        <v>608254</v>
      </c>
      <c r="N28">
        <v>1013</v>
      </c>
      <c r="O28" t="s">
        <v>706</v>
      </c>
      <c r="P28" t="s">
        <v>706</v>
      </c>
      <c r="Q28">
        <v>1</v>
      </c>
      <c r="X28">
        <v>0.14000000000000001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0.14000000000000001</v>
      </c>
      <c r="AH28">
        <v>2</v>
      </c>
      <c r="AI28">
        <v>94798917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ROW(Source!A35)</f>
        <v>35</v>
      </c>
      <c r="B29">
        <v>94798918</v>
      </c>
      <c r="C29">
        <v>94798909</v>
      </c>
      <c r="D29">
        <v>37802443</v>
      </c>
      <c r="E29">
        <v>1</v>
      </c>
      <c r="F29">
        <v>1</v>
      </c>
      <c r="G29">
        <v>1</v>
      </c>
      <c r="H29">
        <v>2</v>
      </c>
      <c r="I29" t="s">
        <v>721</v>
      </c>
      <c r="J29" t="s">
        <v>722</v>
      </c>
      <c r="K29" t="s">
        <v>723</v>
      </c>
      <c r="L29">
        <v>1368</v>
      </c>
      <c r="N29">
        <v>1011</v>
      </c>
      <c r="O29" t="s">
        <v>700</v>
      </c>
      <c r="P29" t="s">
        <v>700</v>
      </c>
      <c r="Q29">
        <v>1</v>
      </c>
      <c r="X29">
        <v>0.02</v>
      </c>
      <c r="Y29">
        <v>0</v>
      </c>
      <c r="Z29">
        <v>124.14</v>
      </c>
      <c r="AA29">
        <v>12.1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0.02</v>
      </c>
      <c r="AH29">
        <v>2</v>
      </c>
      <c r="AI29">
        <v>94798918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ROW(Source!A35)</f>
        <v>35</v>
      </c>
      <c r="B30">
        <v>94798919</v>
      </c>
      <c r="C30">
        <v>94798909</v>
      </c>
      <c r="D30">
        <v>37802699</v>
      </c>
      <c r="E30">
        <v>1</v>
      </c>
      <c r="F30">
        <v>1</v>
      </c>
      <c r="G30">
        <v>1</v>
      </c>
      <c r="H30">
        <v>2</v>
      </c>
      <c r="I30" t="s">
        <v>757</v>
      </c>
      <c r="J30" t="s">
        <v>758</v>
      </c>
      <c r="K30" t="s">
        <v>759</v>
      </c>
      <c r="L30">
        <v>1368</v>
      </c>
      <c r="N30">
        <v>1011</v>
      </c>
      <c r="O30" t="s">
        <v>700</v>
      </c>
      <c r="P30" t="s">
        <v>700</v>
      </c>
      <c r="Q30">
        <v>1</v>
      </c>
      <c r="X30">
        <v>0.08</v>
      </c>
      <c r="Y30">
        <v>0</v>
      </c>
      <c r="Z30">
        <v>59.38</v>
      </c>
      <c r="AA30">
        <v>9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0.08</v>
      </c>
      <c r="AH30">
        <v>2</v>
      </c>
      <c r="AI30">
        <v>94798919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ROW(Source!A35)</f>
        <v>35</v>
      </c>
      <c r="B31">
        <v>94798920</v>
      </c>
      <c r="C31">
        <v>94798909</v>
      </c>
      <c r="D31">
        <v>37802738</v>
      </c>
      <c r="E31">
        <v>1</v>
      </c>
      <c r="F31">
        <v>1</v>
      </c>
      <c r="G31">
        <v>1</v>
      </c>
      <c r="H31">
        <v>2</v>
      </c>
      <c r="I31" t="s">
        <v>760</v>
      </c>
      <c r="J31" t="s">
        <v>761</v>
      </c>
      <c r="K31" t="s">
        <v>762</v>
      </c>
      <c r="L31">
        <v>1368</v>
      </c>
      <c r="N31">
        <v>1011</v>
      </c>
      <c r="O31" t="s">
        <v>700</v>
      </c>
      <c r="P31" t="s">
        <v>700</v>
      </c>
      <c r="Q31">
        <v>1</v>
      </c>
      <c r="X31">
        <v>0.02</v>
      </c>
      <c r="Y31">
        <v>0</v>
      </c>
      <c r="Z31">
        <v>136.79</v>
      </c>
      <c r="AA31">
        <v>12.1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0.02</v>
      </c>
      <c r="AH31">
        <v>2</v>
      </c>
      <c r="AI31">
        <v>94798920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ROW(Source!A35)</f>
        <v>35</v>
      </c>
      <c r="B32">
        <v>94798921</v>
      </c>
      <c r="C32">
        <v>94798909</v>
      </c>
      <c r="D32">
        <v>37802809</v>
      </c>
      <c r="E32">
        <v>1</v>
      </c>
      <c r="F32">
        <v>1</v>
      </c>
      <c r="G32">
        <v>1</v>
      </c>
      <c r="H32">
        <v>2</v>
      </c>
      <c r="I32" t="s">
        <v>763</v>
      </c>
      <c r="J32" t="s">
        <v>764</v>
      </c>
      <c r="K32" t="s">
        <v>765</v>
      </c>
      <c r="L32">
        <v>1368</v>
      </c>
      <c r="N32">
        <v>1011</v>
      </c>
      <c r="O32" t="s">
        <v>700</v>
      </c>
      <c r="P32" t="s">
        <v>700</v>
      </c>
      <c r="Q32">
        <v>1</v>
      </c>
      <c r="X32">
        <v>0.02</v>
      </c>
      <c r="Y32">
        <v>0</v>
      </c>
      <c r="Z32">
        <v>102.49</v>
      </c>
      <c r="AA32">
        <v>10.35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0.02</v>
      </c>
      <c r="AH32">
        <v>2</v>
      </c>
      <c r="AI32">
        <v>94798921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ROW(Source!A35)</f>
        <v>35</v>
      </c>
      <c r="B33">
        <v>94798922</v>
      </c>
      <c r="C33">
        <v>94798909</v>
      </c>
      <c r="D33">
        <v>37804095</v>
      </c>
      <c r="E33">
        <v>1</v>
      </c>
      <c r="F33">
        <v>1</v>
      </c>
      <c r="G33">
        <v>1</v>
      </c>
      <c r="H33">
        <v>2</v>
      </c>
      <c r="I33" t="s">
        <v>766</v>
      </c>
      <c r="J33" t="s">
        <v>767</v>
      </c>
      <c r="K33" t="s">
        <v>768</v>
      </c>
      <c r="L33">
        <v>1368</v>
      </c>
      <c r="N33">
        <v>1011</v>
      </c>
      <c r="O33" t="s">
        <v>700</v>
      </c>
      <c r="P33" t="s">
        <v>700</v>
      </c>
      <c r="Q33">
        <v>1</v>
      </c>
      <c r="X33">
        <v>0.32</v>
      </c>
      <c r="Y33">
        <v>0</v>
      </c>
      <c r="Z33">
        <v>1.69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0.32</v>
      </c>
      <c r="AH33">
        <v>2</v>
      </c>
      <c r="AI33">
        <v>94798922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ROW(Source!A36)</f>
        <v>36</v>
      </c>
      <c r="B34">
        <v>94803469</v>
      </c>
      <c r="C34">
        <v>94803468</v>
      </c>
      <c r="D34">
        <v>23129805</v>
      </c>
      <c r="E34">
        <v>1</v>
      </c>
      <c r="F34">
        <v>1</v>
      </c>
      <c r="G34">
        <v>1</v>
      </c>
      <c r="H34">
        <v>1</v>
      </c>
      <c r="I34" t="s">
        <v>703</v>
      </c>
      <c r="J34" t="s">
        <v>3</v>
      </c>
      <c r="K34" t="s">
        <v>704</v>
      </c>
      <c r="L34">
        <v>1369</v>
      </c>
      <c r="N34">
        <v>1013</v>
      </c>
      <c r="O34" t="s">
        <v>696</v>
      </c>
      <c r="P34" t="s">
        <v>696</v>
      </c>
      <c r="Q34">
        <v>1</v>
      </c>
      <c r="X34">
        <v>15.51</v>
      </c>
      <c r="Y34">
        <v>0</v>
      </c>
      <c r="Z34">
        <v>0</v>
      </c>
      <c r="AA34">
        <v>0</v>
      </c>
      <c r="AB34">
        <v>7.97</v>
      </c>
      <c r="AC34">
        <v>0</v>
      </c>
      <c r="AD34">
        <v>1</v>
      </c>
      <c r="AE34">
        <v>1</v>
      </c>
      <c r="AF34" t="s">
        <v>3</v>
      </c>
      <c r="AG34">
        <v>15.51</v>
      </c>
      <c r="AH34">
        <v>2</v>
      </c>
      <c r="AI34">
        <v>94803469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ROW(Source!A36)</f>
        <v>36</v>
      </c>
      <c r="B35">
        <v>94803470</v>
      </c>
      <c r="C35">
        <v>94803468</v>
      </c>
      <c r="D35">
        <v>121548</v>
      </c>
      <c r="E35">
        <v>1</v>
      </c>
      <c r="F35">
        <v>1</v>
      </c>
      <c r="G35">
        <v>1</v>
      </c>
      <c r="H35">
        <v>1</v>
      </c>
      <c r="I35" t="s">
        <v>28</v>
      </c>
      <c r="J35" t="s">
        <v>3</v>
      </c>
      <c r="K35" t="s">
        <v>705</v>
      </c>
      <c r="L35">
        <v>608254</v>
      </c>
      <c r="N35">
        <v>1013</v>
      </c>
      <c r="O35" t="s">
        <v>706</v>
      </c>
      <c r="P35" t="s">
        <v>706</v>
      </c>
      <c r="Q35">
        <v>1</v>
      </c>
      <c r="X35">
        <v>10.77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2</v>
      </c>
      <c r="AF35" t="s">
        <v>3</v>
      </c>
      <c r="AG35">
        <v>10.77</v>
      </c>
      <c r="AH35">
        <v>2</v>
      </c>
      <c r="AI35">
        <v>94803470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ROW(Source!A36)</f>
        <v>36</v>
      </c>
      <c r="B36">
        <v>94803471</v>
      </c>
      <c r="C36">
        <v>94803468</v>
      </c>
      <c r="D36">
        <v>37802443</v>
      </c>
      <c r="E36">
        <v>1</v>
      </c>
      <c r="F36">
        <v>1</v>
      </c>
      <c r="G36">
        <v>1</v>
      </c>
      <c r="H36">
        <v>2</v>
      </c>
      <c r="I36" t="s">
        <v>721</v>
      </c>
      <c r="J36" t="s">
        <v>722</v>
      </c>
      <c r="K36" t="s">
        <v>723</v>
      </c>
      <c r="L36">
        <v>1368</v>
      </c>
      <c r="N36">
        <v>1011</v>
      </c>
      <c r="O36" t="s">
        <v>700</v>
      </c>
      <c r="P36" t="s">
        <v>700</v>
      </c>
      <c r="Q36">
        <v>1</v>
      </c>
      <c r="X36">
        <v>1.05</v>
      </c>
      <c r="Y36">
        <v>0</v>
      </c>
      <c r="Z36">
        <v>124.14</v>
      </c>
      <c r="AA36">
        <v>12.1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1.05</v>
      </c>
      <c r="AH36">
        <v>2</v>
      </c>
      <c r="AI36">
        <v>94803471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ROW(Source!A36)</f>
        <v>36</v>
      </c>
      <c r="B37">
        <v>94803472</v>
      </c>
      <c r="C37">
        <v>94803468</v>
      </c>
      <c r="D37">
        <v>37802741</v>
      </c>
      <c r="E37">
        <v>1</v>
      </c>
      <c r="F37">
        <v>1</v>
      </c>
      <c r="G37">
        <v>1</v>
      </c>
      <c r="H37">
        <v>2</v>
      </c>
      <c r="I37" t="s">
        <v>769</v>
      </c>
      <c r="J37" t="s">
        <v>770</v>
      </c>
      <c r="K37" t="s">
        <v>771</v>
      </c>
      <c r="L37">
        <v>1368</v>
      </c>
      <c r="N37">
        <v>1011</v>
      </c>
      <c r="O37" t="s">
        <v>700</v>
      </c>
      <c r="P37" t="s">
        <v>700</v>
      </c>
      <c r="Q37">
        <v>1</v>
      </c>
      <c r="X37">
        <v>4.72</v>
      </c>
      <c r="Y37">
        <v>0</v>
      </c>
      <c r="Z37">
        <v>228.58</v>
      </c>
      <c r="AA37">
        <v>24.2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4.72</v>
      </c>
      <c r="AH37">
        <v>2</v>
      </c>
      <c r="AI37">
        <v>94803472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ROW(Source!A36)</f>
        <v>36</v>
      </c>
      <c r="B38">
        <v>94803473</v>
      </c>
      <c r="C38">
        <v>94803468</v>
      </c>
      <c r="D38">
        <v>37802809</v>
      </c>
      <c r="E38">
        <v>1</v>
      </c>
      <c r="F38">
        <v>1</v>
      </c>
      <c r="G38">
        <v>1</v>
      </c>
      <c r="H38">
        <v>2</v>
      </c>
      <c r="I38" t="s">
        <v>763</v>
      </c>
      <c r="J38" t="s">
        <v>764</v>
      </c>
      <c r="K38" t="s">
        <v>765</v>
      </c>
      <c r="L38">
        <v>1368</v>
      </c>
      <c r="N38">
        <v>1011</v>
      </c>
      <c r="O38" t="s">
        <v>700</v>
      </c>
      <c r="P38" t="s">
        <v>700</v>
      </c>
      <c r="Q38">
        <v>1</v>
      </c>
      <c r="X38">
        <v>0.28000000000000003</v>
      </c>
      <c r="Y38">
        <v>0</v>
      </c>
      <c r="Z38">
        <v>102.49</v>
      </c>
      <c r="AA38">
        <v>10.35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0.28000000000000003</v>
      </c>
      <c r="AH38">
        <v>2</v>
      </c>
      <c r="AI38">
        <v>94803473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ROW(Source!A36)</f>
        <v>36</v>
      </c>
      <c r="B39">
        <v>94803474</v>
      </c>
      <c r="C39">
        <v>94803468</v>
      </c>
      <c r="D39">
        <v>37804456</v>
      </c>
      <c r="E39">
        <v>1</v>
      </c>
      <c r="F39">
        <v>1</v>
      </c>
      <c r="G39">
        <v>1</v>
      </c>
      <c r="H39">
        <v>2</v>
      </c>
      <c r="I39" t="s">
        <v>713</v>
      </c>
      <c r="J39" t="s">
        <v>714</v>
      </c>
      <c r="K39" t="s">
        <v>715</v>
      </c>
      <c r="L39">
        <v>1368</v>
      </c>
      <c r="N39">
        <v>1011</v>
      </c>
      <c r="O39" t="s">
        <v>700</v>
      </c>
      <c r="P39" t="s">
        <v>700</v>
      </c>
      <c r="Q39">
        <v>1</v>
      </c>
      <c r="X39">
        <v>1.6</v>
      </c>
      <c r="Y39">
        <v>0</v>
      </c>
      <c r="Z39">
        <v>91.76</v>
      </c>
      <c r="AA39">
        <v>10.35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1.6</v>
      </c>
      <c r="AH39">
        <v>2</v>
      </c>
      <c r="AI39">
        <v>94803474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ROW(Source!A80)</f>
        <v>80</v>
      </c>
      <c r="B40">
        <v>94799096</v>
      </c>
      <c r="C40">
        <v>94799087</v>
      </c>
      <c r="D40">
        <v>23129805</v>
      </c>
      <c r="E40">
        <v>1</v>
      </c>
      <c r="F40">
        <v>1</v>
      </c>
      <c r="G40">
        <v>1</v>
      </c>
      <c r="H40">
        <v>1</v>
      </c>
      <c r="I40" t="s">
        <v>703</v>
      </c>
      <c r="J40" t="s">
        <v>3</v>
      </c>
      <c r="K40" t="s">
        <v>704</v>
      </c>
      <c r="L40">
        <v>1369</v>
      </c>
      <c r="N40">
        <v>1013</v>
      </c>
      <c r="O40" t="s">
        <v>696</v>
      </c>
      <c r="P40" t="s">
        <v>696</v>
      </c>
      <c r="Q40">
        <v>1</v>
      </c>
      <c r="X40">
        <v>35.64</v>
      </c>
      <c r="Y40">
        <v>0</v>
      </c>
      <c r="Z40">
        <v>0</v>
      </c>
      <c r="AA40">
        <v>0</v>
      </c>
      <c r="AB40">
        <v>7.97</v>
      </c>
      <c r="AC40">
        <v>0</v>
      </c>
      <c r="AD40">
        <v>1</v>
      </c>
      <c r="AE40">
        <v>1</v>
      </c>
      <c r="AF40" t="s">
        <v>3</v>
      </c>
      <c r="AG40">
        <v>35.64</v>
      </c>
      <c r="AH40">
        <v>2</v>
      </c>
      <c r="AI40">
        <v>94799088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ROW(Source!A80)</f>
        <v>80</v>
      </c>
      <c r="B41">
        <v>94799097</v>
      </c>
      <c r="C41">
        <v>94799087</v>
      </c>
      <c r="D41">
        <v>121548</v>
      </c>
      <c r="E41">
        <v>1</v>
      </c>
      <c r="F41">
        <v>1</v>
      </c>
      <c r="G41">
        <v>1</v>
      </c>
      <c r="H41">
        <v>1</v>
      </c>
      <c r="I41" t="s">
        <v>28</v>
      </c>
      <c r="J41" t="s">
        <v>3</v>
      </c>
      <c r="K41" t="s">
        <v>705</v>
      </c>
      <c r="L41">
        <v>608254</v>
      </c>
      <c r="N41">
        <v>1013</v>
      </c>
      <c r="O41" t="s">
        <v>706</v>
      </c>
      <c r="P41" t="s">
        <v>706</v>
      </c>
      <c r="Q41">
        <v>1</v>
      </c>
      <c r="X41">
        <v>21.67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2</v>
      </c>
      <c r="AF41" t="s">
        <v>3</v>
      </c>
      <c r="AG41">
        <v>21.67</v>
      </c>
      <c r="AH41">
        <v>2</v>
      </c>
      <c r="AI41">
        <v>94799089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ROW(Source!A80)</f>
        <v>80</v>
      </c>
      <c r="B42">
        <v>94799098</v>
      </c>
      <c r="C42">
        <v>94799087</v>
      </c>
      <c r="D42">
        <v>37802953</v>
      </c>
      <c r="E42">
        <v>1</v>
      </c>
      <c r="F42">
        <v>1</v>
      </c>
      <c r="G42">
        <v>1</v>
      </c>
      <c r="H42">
        <v>2</v>
      </c>
      <c r="I42" t="s">
        <v>707</v>
      </c>
      <c r="J42" t="s">
        <v>708</v>
      </c>
      <c r="K42" t="s">
        <v>709</v>
      </c>
      <c r="L42">
        <v>1368</v>
      </c>
      <c r="N42">
        <v>1011</v>
      </c>
      <c r="O42" t="s">
        <v>700</v>
      </c>
      <c r="P42" t="s">
        <v>700</v>
      </c>
      <c r="Q42">
        <v>1</v>
      </c>
      <c r="X42">
        <v>10.74</v>
      </c>
      <c r="Y42">
        <v>0</v>
      </c>
      <c r="Z42">
        <v>189</v>
      </c>
      <c r="AA42">
        <v>12.1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10.74</v>
      </c>
      <c r="AH42">
        <v>2</v>
      </c>
      <c r="AI42">
        <v>94799090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ROW(Source!A80)</f>
        <v>80</v>
      </c>
      <c r="B43">
        <v>94799099</v>
      </c>
      <c r="C43">
        <v>94799087</v>
      </c>
      <c r="D43">
        <v>37803498</v>
      </c>
      <c r="E43">
        <v>1</v>
      </c>
      <c r="F43">
        <v>1</v>
      </c>
      <c r="G43">
        <v>1</v>
      </c>
      <c r="H43">
        <v>2</v>
      </c>
      <c r="I43" t="s">
        <v>710</v>
      </c>
      <c r="J43" t="s">
        <v>711</v>
      </c>
      <c r="K43" t="s">
        <v>712</v>
      </c>
      <c r="L43">
        <v>1368</v>
      </c>
      <c r="N43">
        <v>1011</v>
      </c>
      <c r="O43" t="s">
        <v>700</v>
      </c>
      <c r="P43" t="s">
        <v>700</v>
      </c>
      <c r="Q43">
        <v>1</v>
      </c>
      <c r="X43">
        <v>10.93</v>
      </c>
      <c r="Y43">
        <v>0</v>
      </c>
      <c r="Z43">
        <v>123.86</v>
      </c>
      <c r="AA43">
        <v>10.35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10.93</v>
      </c>
      <c r="AH43">
        <v>2</v>
      </c>
      <c r="AI43">
        <v>94799091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ROW(Source!A80)</f>
        <v>80</v>
      </c>
      <c r="B44">
        <v>94799100</v>
      </c>
      <c r="C44">
        <v>94799087</v>
      </c>
      <c r="D44">
        <v>37804456</v>
      </c>
      <c r="E44">
        <v>1</v>
      </c>
      <c r="F44">
        <v>1</v>
      </c>
      <c r="G44">
        <v>1</v>
      </c>
      <c r="H44">
        <v>2</v>
      </c>
      <c r="I44" t="s">
        <v>713</v>
      </c>
      <c r="J44" t="s">
        <v>714</v>
      </c>
      <c r="K44" t="s">
        <v>715</v>
      </c>
      <c r="L44">
        <v>1368</v>
      </c>
      <c r="N44">
        <v>1011</v>
      </c>
      <c r="O44" t="s">
        <v>700</v>
      </c>
      <c r="P44" t="s">
        <v>700</v>
      </c>
      <c r="Q44">
        <v>1</v>
      </c>
      <c r="X44">
        <v>0.81</v>
      </c>
      <c r="Y44">
        <v>0</v>
      </c>
      <c r="Z44">
        <v>91.76</v>
      </c>
      <c r="AA44">
        <v>10.35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0.81</v>
      </c>
      <c r="AH44">
        <v>2</v>
      </c>
      <c r="AI44">
        <v>94799092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ROW(Source!A80)</f>
        <v>80</v>
      </c>
      <c r="B45">
        <v>94799101</v>
      </c>
      <c r="C45">
        <v>94799087</v>
      </c>
      <c r="D45">
        <v>37751670</v>
      </c>
      <c r="E45">
        <v>1</v>
      </c>
      <c r="F45">
        <v>1</v>
      </c>
      <c r="G45">
        <v>1</v>
      </c>
      <c r="H45">
        <v>3</v>
      </c>
      <c r="I45" t="s">
        <v>716</v>
      </c>
      <c r="J45" t="s">
        <v>717</v>
      </c>
      <c r="K45" t="s">
        <v>718</v>
      </c>
      <c r="L45">
        <v>1301</v>
      </c>
      <c r="N45">
        <v>1003</v>
      </c>
      <c r="O45" t="s">
        <v>368</v>
      </c>
      <c r="P45" t="s">
        <v>368</v>
      </c>
      <c r="Q45">
        <v>1</v>
      </c>
      <c r="X45">
        <v>55.9</v>
      </c>
      <c r="Y45">
        <v>4.2300000000000004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55.9</v>
      </c>
      <c r="AH45">
        <v>2</v>
      </c>
      <c r="AI45">
        <v>94799093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ROW(Source!A80)</f>
        <v>80</v>
      </c>
      <c r="B46">
        <v>94799102</v>
      </c>
      <c r="C46">
        <v>94799087</v>
      </c>
      <c r="D46">
        <v>37751161</v>
      </c>
      <c r="E46">
        <v>1</v>
      </c>
      <c r="F46">
        <v>1</v>
      </c>
      <c r="G46">
        <v>1</v>
      </c>
      <c r="H46">
        <v>3</v>
      </c>
      <c r="I46" t="s">
        <v>45</v>
      </c>
      <c r="J46" t="s">
        <v>48</v>
      </c>
      <c r="K46" t="s">
        <v>46</v>
      </c>
      <c r="L46">
        <v>1354</v>
      </c>
      <c r="N46">
        <v>1010</v>
      </c>
      <c r="O46" t="s">
        <v>47</v>
      </c>
      <c r="P46" t="s">
        <v>47</v>
      </c>
      <c r="Q46">
        <v>1</v>
      </c>
      <c r="X46">
        <v>100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t="s">
        <v>3</v>
      </c>
      <c r="AG46">
        <v>100</v>
      </c>
      <c r="AH46">
        <v>2</v>
      </c>
      <c r="AI46">
        <v>94799094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ROW(Source!A80)</f>
        <v>80</v>
      </c>
      <c r="B47">
        <v>94799103</v>
      </c>
      <c r="C47">
        <v>94799087</v>
      </c>
      <c r="D47">
        <v>37767799</v>
      </c>
      <c r="E47">
        <v>1</v>
      </c>
      <c r="F47">
        <v>1</v>
      </c>
      <c r="G47">
        <v>1</v>
      </c>
      <c r="H47">
        <v>3</v>
      </c>
      <c r="I47" t="s">
        <v>50</v>
      </c>
      <c r="J47" t="s">
        <v>53</v>
      </c>
      <c r="K47" t="s">
        <v>51</v>
      </c>
      <c r="L47">
        <v>1339</v>
      </c>
      <c r="N47">
        <v>1007</v>
      </c>
      <c r="O47" t="s">
        <v>52</v>
      </c>
      <c r="P47" t="s">
        <v>52</v>
      </c>
      <c r="Q47">
        <v>1</v>
      </c>
      <c r="X47">
        <v>6.34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 t="s">
        <v>3</v>
      </c>
      <c r="AG47">
        <v>6.34</v>
      </c>
      <c r="AH47">
        <v>2</v>
      </c>
      <c r="AI47">
        <v>94799095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ROW(Source!A84)</f>
        <v>84</v>
      </c>
      <c r="B48">
        <v>94799006</v>
      </c>
      <c r="C48">
        <v>94799005</v>
      </c>
      <c r="D48">
        <v>23134955</v>
      </c>
      <c r="E48">
        <v>1</v>
      </c>
      <c r="F48">
        <v>1</v>
      </c>
      <c r="G48">
        <v>1</v>
      </c>
      <c r="H48">
        <v>1</v>
      </c>
      <c r="I48" t="s">
        <v>772</v>
      </c>
      <c r="J48" t="s">
        <v>3</v>
      </c>
      <c r="K48" t="s">
        <v>773</v>
      </c>
      <c r="L48">
        <v>1369</v>
      </c>
      <c r="N48">
        <v>1013</v>
      </c>
      <c r="O48" t="s">
        <v>696</v>
      </c>
      <c r="P48" t="s">
        <v>696</v>
      </c>
      <c r="Q48">
        <v>1</v>
      </c>
      <c r="X48">
        <v>78.25</v>
      </c>
      <c r="Y48">
        <v>0</v>
      </c>
      <c r="Z48">
        <v>0</v>
      </c>
      <c r="AA48">
        <v>0</v>
      </c>
      <c r="AB48">
        <v>8.17</v>
      </c>
      <c r="AC48">
        <v>0</v>
      </c>
      <c r="AD48">
        <v>1</v>
      </c>
      <c r="AE48">
        <v>1</v>
      </c>
      <c r="AF48" t="s">
        <v>3</v>
      </c>
      <c r="AG48">
        <v>78.25</v>
      </c>
      <c r="AH48">
        <v>2</v>
      </c>
      <c r="AI48">
        <v>94799006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ROW(Source!A84)</f>
        <v>84</v>
      </c>
      <c r="B49">
        <v>94799007</v>
      </c>
      <c r="C49">
        <v>94799005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28</v>
      </c>
      <c r="J49" t="s">
        <v>3</v>
      </c>
      <c r="K49" t="s">
        <v>705</v>
      </c>
      <c r="L49">
        <v>608254</v>
      </c>
      <c r="N49">
        <v>1013</v>
      </c>
      <c r="O49" t="s">
        <v>706</v>
      </c>
      <c r="P49" t="s">
        <v>706</v>
      </c>
      <c r="Q49">
        <v>1</v>
      </c>
      <c r="X49">
        <v>9.27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2</v>
      </c>
      <c r="AF49" t="s">
        <v>3</v>
      </c>
      <c r="AG49">
        <v>9.27</v>
      </c>
      <c r="AH49">
        <v>2</v>
      </c>
      <c r="AI49">
        <v>94799007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ROW(Source!A84)</f>
        <v>84</v>
      </c>
      <c r="B50">
        <v>94799008</v>
      </c>
      <c r="C50">
        <v>94799005</v>
      </c>
      <c r="D50">
        <v>37802443</v>
      </c>
      <c r="E50">
        <v>1</v>
      </c>
      <c r="F50">
        <v>1</v>
      </c>
      <c r="G50">
        <v>1</v>
      </c>
      <c r="H50">
        <v>2</v>
      </c>
      <c r="I50" t="s">
        <v>721</v>
      </c>
      <c r="J50" t="s">
        <v>722</v>
      </c>
      <c r="K50" t="s">
        <v>723</v>
      </c>
      <c r="L50">
        <v>1368</v>
      </c>
      <c r="N50">
        <v>1011</v>
      </c>
      <c r="O50" t="s">
        <v>700</v>
      </c>
      <c r="P50" t="s">
        <v>700</v>
      </c>
      <c r="Q50">
        <v>1</v>
      </c>
      <c r="X50">
        <v>6.32</v>
      </c>
      <c r="Y50">
        <v>0</v>
      </c>
      <c r="Z50">
        <v>124.14</v>
      </c>
      <c r="AA50">
        <v>12.1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6.32</v>
      </c>
      <c r="AH50">
        <v>2</v>
      </c>
      <c r="AI50">
        <v>94799008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ROW(Source!A84)</f>
        <v>84</v>
      </c>
      <c r="B51">
        <v>94799009</v>
      </c>
      <c r="C51">
        <v>94799005</v>
      </c>
      <c r="D51">
        <v>37802515</v>
      </c>
      <c r="E51">
        <v>1</v>
      </c>
      <c r="F51">
        <v>1</v>
      </c>
      <c r="G51">
        <v>1</v>
      </c>
      <c r="H51">
        <v>2</v>
      </c>
      <c r="I51" t="s">
        <v>774</v>
      </c>
      <c r="J51" t="s">
        <v>775</v>
      </c>
      <c r="K51" t="s">
        <v>776</v>
      </c>
      <c r="L51">
        <v>1368</v>
      </c>
      <c r="N51">
        <v>1011</v>
      </c>
      <c r="O51" t="s">
        <v>700</v>
      </c>
      <c r="P51" t="s">
        <v>700</v>
      </c>
      <c r="Q51">
        <v>1</v>
      </c>
      <c r="X51">
        <v>0.04</v>
      </c>
      <c r="Y51">
        <v>0</v>
      </c>
      <c r="Z51">
        <v>87.24</v>
      </c>
      <c r="AA51">
        <v>9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0.04</v>
      </c>
      <c r="AH51">
        <v>2</v>
      </c>
      <c r="AI51">
        <v>94799009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ROW(Source!A84)</f>
        <v>84</v>
      </c>
      <c r="B52">
        <v>94799010</v>
      </c>
      <c r="C52">
        <v>94799005</v>
      </c>
      <c r="D52">
        <v>37802659</v>
      </c>
      <c r="E52">
        <v>1</v>
      </c>
      <c r="F52">
        <v>1</v>
      </c>
      <c r="G52">
        <v>1</v>
      </c>
      <c r="H52">
        <v>2</v>
      </c>
      <c r="I52" t="s">
        <v>777</v>
      </c>
      <c r="J52" t="s">
        <v>778</v>
      </c>
      <c r="K52" t="s">
        <v>779</v>
      </c>
      <c r="L52">
        <v>1368</v>
      </c>
      <c r="N52">
        <v>1011</v>
      </c>
      <c r="O52" t="s">
        <v>700</v>
      </c>
      <c r="P52" t="s">
        <v>700</v>
      </c>
      <c r="Q52">
        <v>1</v>
      </c>
      <c r="X52">
        <v>1.45</v>
      </c>
      <c r="Y52">
        <v>0</v>
      </c>
      <c r="Z52">
        <v>1.43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1.45</v>
      </c>
      <c r="AH52">
        <v>2</v>
      </c>
      <c r="AI52">
        <v>94799010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ROW(Source!A84)</f>
        <v>84</v>
      </c>
      <c r="B53">
        <v>94799011</v>
      </c>
      <c r="C53">
        <v>94799005</v>
      </c>
      <c r="D53">
        <v>37803498</v>
      </c>
      <c r="E53">
        <v>1</v>
      </c>
      <c r="F53">
        <v>1</v>
      </c>
      <c r="G53">
        <v>1</v>
      </c>
      <c r="H53">
        <v>2</v>
      </c>
      <c r="I53" t="s">
        <v>710</v>
      </c>
      <c r="J53" t="s">
        <v>711</v>
      </c>
      <c r="K53" t="s">
        <v>712</v>
      </c>
      <c r="L53">
        <v>1368</v>
      </c>
      <c r="N53">
        <v>1011</v>
      </c>
      <c r="O53" t="s">
        <v>700</v>
      </c>
      <c r="P53" t="s">
        <v>700</v>
      </c>
      <c r="Q53">
        <v>1</v>
      </c>
      <c r="X53">
        <v>2.91</v>
      </c>
      <c r="Y53">
        <v>0</v>
      </c>
      <c r="Z53">
        <v>123.86</v>
      </c>
      <c r="AA53">
        <v>10.35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2.91</v>
      </c>
      <c r="AH53">
        <v>2</v>
      </c>
      <c r="AI53">
        <v>94799011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ROW(Source!A84)</f>
        <v>84</v>
      </c>
      <c r="B54">
        <v>94799012</v>
      </c>
      <c r="C54">
        <v>94799005</v>
      </c>
      <c r="D54">
        <v>37804456</v>
      </c>
      <c r="E54">
        <v>1</v>
      </c>
      <c r="F54">
        <v>1</v>
      </c>
      <c r="G54">
        <v>1</v>
      </c>
      <c r="H54">
        <v>2</v>
      </c>
      <c r="I54" t="s">
        <v>713</v>
      </c>
      <c r="J54" t="s">
        <v>714</v>
      </c>
      <c r="K54" t="s">
        <v>715</v>
      </c>
      <c r="L54">
        <v>1368</v>
      </c>
      <c r="N54">
        <v>1011</v>
      </c>
      <c r="O54" t="s">
        <v>700</v>
      </c>
      <c r="P54" t="s">
        <v>700</v>
      </c>
      <c r="Q54">
        <v>1</v>
      </c>
      <c r="X54">
        <v>0.88</v>
      </c>
      <c r="Y54">
        <v>0</v>
      </c>
      <c r="Z54">
        <v>91.76</v>
      </c>
      <c r="AA54">
        <v>10.35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0.88</v>
      </c>
      <c r="AH54">
        <v>2</v>
      </c>
      <c r="AI54">
        <v>94799012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ROW(Source!A84)</f>
        <v>84</v>
      </c>
      <c r="B55">
        <v>94799013</v>
      </c>
      <c r="C55">
        <v>94799005</v>
      </c>
      <c r="D55">
        <v>37729649</v>
      </c>
      <c r="E55">
        <v>1</v>
      </c>
      <c r="F55">
        <v>1</v>
      </c>
      <c r="G55">
        <v>1</v>
      </c>
      <c r="H55">
        <v>3</v>
      </c>
      <c r="I55" t="s">
        <v>184</v>
      </c>
      <c r="J55" t="s">
        <v>186</v>
      </c>
      <c r="K55" t="s">
        <v>185</v>
      </c>
      <c r="L55">
        <v>1348</v>
      </c>
      <c r="N55">
        <v>1009</v>
      </c>
      <c r="O55" t="s">
        <v>170</v>
      </c>
      <c r="P55" t="s">
        <v>170</v>
      </c>
      <c r="Q55">
        <v>1000</v>
      </c>
      <c r="X55">
        <v>3.8999999999999999E-4</v>
      </c>
      <c r="Y55">
        <v>32830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3.8999999999999999E-4</v>
      </c>
      <c r="AH55">
        <v>2</v>
      </c>
      <c r="AI55">
        <v>94799013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ROW(Source!A84)</f>
        <v>84</v>
      </c>
      <c r="B56">
        <v>94799014</v>
      </c>
      <c r="C56">
        <v>94799005</v>
      </c>
      <c r="D56">
        <v>37729659</v>
      </c>
      <c r="E56">
        <v>1</v>
      </c>
      <c r="F56">
        <v>1</v>
      </c>
      <c r="G56">
        <v>1</v>
      </c>
      <c r="H56">
        <v>3</v>
      </c>
      <c r="I56" t="s">
        <v>187</v>
      </c>
      <c r="J56" t="s">
        <v>189</v>
      </c>
      <c r="K56" t="s">
        <v>188</v>
      </c>
      <c r="L56">
        <v>1339</v>
      </c>
      <c r="N56">
        <v>1007</v>
      </c>
      <c r="O56" t="s">
        <v>52</v>
      </c>
      <c r="P56" t="s">
        <v>52</v>
      </c>
      <c r="Q56">
        <v>1</v>
      </c>
      <c r="X56">
        <v>1.3</v>
      </c>
      <c r="Y56">
        <v>6.22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1.3</v>
      </c>
      <c r="AH56">
        <v>2</v>
      </c>
      <c r="AI56">
        <v>94799014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ROW(Source!A84)</f>
        <v>84</v>
      </c>
      <c r="B57">
        <v>94799015</v>
      </c>
      <c r="C57">
        <v>94799005</v>
      </c>
      <c r="D57">
        <v>37732513</v>
      </c>
      <c r="E57">
        <v>1</v>
      </c>
      <c r="F57">
        <v>1</v>
      </c>
      <c r="G57">
        <v>1</v>
      </c>
      <c r="H57">
        <v>3</v>
      </c>
      <c r="I57" t="s">
        <v>168</v>
      </c>
      <c r="J57" t="s">
        <v>171</v>
      </c>
      <c r="K57" t="s">
        <v>169</v>
      </c>
      <c r="L57">
        <v>1348</v>
      </c>
      <c r="N57">
        <v>1009</v>
      </c>
      <c r="O57" t="s">
        <v>170</v>
      </c>
      <c r="P57" t="s">
        <v>170</v>
      </c>
      <c r="Q57">
        <v>1000</v>
      </c>
      <c r="X57">
        <v>4.1099999999999999E-3</v>
      </c>
      <c r="Y57">
        <v>22503.11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4.1099999999999999E-3</v>
      </c>
      <c r="AH57">
        <v>2</v>
      </c>
      <c r="AI57">
        <v>94799015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ROW(Source!A84)</f>
        <v>84</v>
      </c>
      <c r="B58">
        <v>94799016</v>
      </c>
      <c r="C58">
        <v>94799005</v>
      </c>
      <c r="D58">
        <v>37732487</v>
      </c>
      <c r="E58">
        <v>1</v>
      </c>
      <c r="F58">
        <v>1</v>
      </c>
      <c r="G58">
        <v>1</v>
      </c>
      <c r="H58">
        <v>3</v>
      </c>
      <c r="I58" t="s">
        <v>172</v>
      </c>
      <c r="J58" t="s">
        <v>174</v>
      </c>
      <c r="K58" t="s">
        <v>173</v>
      </c>
      <c r="L58">
        <v>1348</v>
      </c>
      <c r="N58">
        <v>1009</v>
      </c>
      <c r="O58" t="s">
        <v>170</v>
      </c>
      <c r="P58" t="s">
        <v>170</v>
      </c>
      <c r="Q58">
        <v>1000</v>
      </c>
      <c r="X58">
        <v>7.4700000000000001E-3</v>
      </c>
      <c r="Y58">
        <v>15989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7.4700000000000001E-3</v>
      </c>
      <c r="AH58">
        <v>2</v>
      </c>
      <c r="AI58">
        <v>94799016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ROW(Source!A84)</f>
        <v>84</v>
      </c>
      <c r="B59">
        <v>94799017</v>
      </c>
      <c r="C59">
        <v>94799005</v>
      </c>
      <c r="D59">
        <v>37732760</v>
      </c>
      <c r="E59">
        <v>1</v>
      </c>
      <c r="F59">
        <v>1</v>
      </c>
      <c r="G59">
        <v>1</v>
      </c>
      <c r="H59">
        <v>3</v>
      </c>
      <c r="I59" t="s">
        <v>175</v>
      </c>
      <c r="J59" t="s">
        <v>177</v>
      </c>
      <c r="K59" t="s">
        <v>176</v>
      </c>
      <c r="L59">
        <v>1348</v>
      </c>
      <c r="N59">
        <v>1009</v>
      </c>
      <c r="O59" t="s">
        <v>170</v>
      </c>
      <c r="P59" t="s">
        <v>170</v>
      </c>
      <c r="Q59">
        <v>1000</v>
      </c>
      <c r="X59">
        <v>2.7400000000000001E-2</v>
      </c>
      <c r="Y59">
        <v>21959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2.7400000000000001E-2</v>
      </c>
      <c r="AH59">
        <v>2</v>
      </c>
      <c r="AI59">
        <v>94799017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ROW(Source!A84)</f>
        <v>84</v>
      </c>
      <c r="B60">
        <v>94799018</v>
      </c>
      <c r="C60">
        <v>94799005</v>
      </c>
      <c r="D60">
        <v>37736297</v>
      </c>
      <c r="E60">
        <v>1</v>
      </c>
      <c r="F60">
        <v>1</v>
      </c>
      <c r="G60">
        <v>1</v>
      </c>
      <c r="H60">
        <v>3</v>
      </c>
      <c r="I60" t="s">
        <v>780</v>
      </c>
      <c r="J60" t="s">
        <v>781</v>
      </c>
      <c r="K60" t="s">
        <v>782</v>
      </c>
      <c r="L60">
        <v>1348</v>
      </c>
      <c r="N60">
        <v>1009</v>
      </c>
      <c r="O60" t="s">
        <v>170</v>
      </c>
      <c r="P60" t="s">
        <v>170</v>
      </c>
      <c r="Q60">
        <v>1000</v>
      </c>
      <c r="X60">
        <v>1.1299999999999999E-2</v>
      </c>
      <c r="Y60">
        <v>12854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1.1299999999999999E-2</v>
      </c>
      <c r="AH60">
        <v>2</v>
      </c>
      <c r="AI60">
        <v>94799018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ROW(Source!A84)</f>
        <v>84</v>
      </c>
      <c r="B61">
        <v>94799019</v>
      </c>
      <c r="C61">
        <v>94799005</v>
      </c>
      <c r="D61">
        <v>37735442</v>
      </c>
      <c r="E61">
        <v>1</v>
      </c>
      <c r="F61">
        <v>1</v>
      </c>
      <c r="G61">
        <v>1</v>
      </c>
      <c r="H61">
        <v>3</v>
      </c>
      <c r="I61" t="s">
        <v>783</v>
      </c>
      <c r="J61" t="s">
        <v>784</v>
      </c>
      <c r="K61" t="s">
        <v>785</v>
      </c>
      <c r="L61">
        <v>1327</v>
      </c>
      <c r="N61">
        <v>1005</v>
      </c>
      <c r="O61" t="s">
        <v>201</v>
      </c>
      <c r="P61" t="s">
        <v>201</v>
      </c>
      <c r="Q61">
        <v>1</v>
      </c>
      <c r="X61">
        <v>152</v>
      </c>
      <c r="Y61">
        <v>14.83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152</v>
      </c>
      <c r="AH61">
        <v>2</v>
      </c>
      <c r="AI61">
        <v>94799019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ROW(Source!A84)</f>
        <v>84</v>
      </c>
      <c r="B62">
        <v>94799020</v>
      </c>
      <c r="C62">
        <v>94799005</v>
      </c>
      <c r="D62">
        <v>37732769</v>
      </c>
      <c r="E62">
        <v>1</v>
      </c>
      <c r="F62">
        <v>1</v>
      </c>
      <c r="G62">
        <v>1</v>
      </c>
      <c r="H62">
        <v>3</v>
      </c>
      <c r="I62" t="s">
        <v>190</v>
      </c>
      <c r="J62" t="s">
        <v>193</v>
      </c>
      <c r="K62" t="s">
        <v>191</v>
      </c>
      <c r="L62">
        <v>1346</v>
      </c>
      <c r="N62">
        <v>1009</v>
      </c>
      <c r="O62" t="s">
        <v>192</v>
      </c>
      <c r="P62" t="s">
        <v>192</v>
      </c>
      <c r="Q62">
        <v>1</v>
      </c>
      <c r="X62">
        <v>1.91</v>
      </c>
      <c r="Y62">
        <v>61.28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1.91</v>
      </c>
      <c r="AH62">
        <v>2</v>
      </c>
      <c r="AI62">
        <v>94799020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ROW(Source!A84)</f>
        <v>84</v>
      </c>
      <c r="B63">
        <v>94799021</v>
      </c>
      <c r="C63">
        <v>94799005</v>
      </c>
      <c r="D63">
        <v>37744698</v>
      </c>
      <c r="E63">
        <v>1</v>
      </c>
      <c r="F63">
        <v>1</v>
      </c>
      <c r="G63">
        <v>1</v>
      </c>
      <c r="H63">
        <v>3</v>
      </c>
      <c r="I63" t="s">
        <v>178</v>
      </c>
      <c r="J63" t="s">
        <v>180</v>
      </c>
      <c r="K63" t="s">
        <v>179</v>
      </c>
      <c r="L63">
        <v>1348</v>
      </c>
      <c r="N63">
        <v>1009</v>
      </c>
      <c r="O63" t="s">
        <v>170</v>
      </c>
      <c r="P63" t="s">
        <v>170</v>
      </c>
      <c r="Q63">
        <v>1000</v>
      </c>
      <c r="X63">
        <v>3.48E-3</v>
      </c>
      <c r="Y63">
        <v>15620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3.48E-3</v>
      </c>
      <c r="AH63">
        <v>2</v>
      </c>
      <c r="AI63">
        <v>94799021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ROW(Source!A84)</f>
        <v>84</v>
      </c>
      <c r="B64">
        <v>94799022</v>
      </c>
      <c r="C64">
        <v>94799005</v>
      </c>
      <c r="D64">
        <v>37776003</v>
      </c>
      <c r="E64">
        <v>1</v>
      </c>
      <c r="F64">
        <v>1</v>
      </c>
      <c r="G64">
        <v>1</v>
      </c>
      <c r="H64">
        <v>3</v>
      </c>
      <c r="I64" t="s">
        <v>165</v>
      </c>
      <c r="J64" t="s">
        <v>167</v>
      </c>
      <c r="K64" t="s">
        <v>166</v>
      </c>
      <c r="L64">
        <v>1339</v>
      </c>
      <c r="N64">
        <v>1007</v>
      </c>
      <c r="O64" t="s">
        <v>52</v>
      </c>
      <c r="P64" t="s">
        <v>52</v>
      </c>
      <c r="Q64">
        <v>1</v>
      </c>
      <c r="X64">
        <v>1.44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 t="s">
        <v>3</v>
      </c>
      <c r="AG64">
        <v>1.44</v>
      </c>
      <c r="AH64">
        <v>2</v>
      </c>
      <c r="AI64">
        <v>94799022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ROW(Source!A84)</f>
        <v>84</v>
      </c>
      <c r="B65">
        <v>94799023</v>
      </c>
      <c r="C65">
        <v>94799005</v>
      </c>
      <c r="D65">
        <v>37777274</v>
      </c>
      <c r="E65">
        <v>1</v>
      </c>
      <c r="F65">
        <v>1</v>
      </c>
      <c r="G65">
        <v>1</v>
      </c>
      <c r="H65">
        <v>3</v>
      </c>
      <c r="I65" t="s">
        <v>181</v>
      </c>
      <c r="J65" t="s">
        <v>183</v>
      </c>
      <c r="K65" t="s">
        <v>182</v>
      </c>
      <c r="L65">
        <v>1339</v>
      </c>
      <c r="N65">
        <v>1007</v>
      </c>
      <c r="O65" t="s">
        <v>52</v>
      </c>
      <c r="P65" t="s">
        <v>52</v>
      </c>
      <c r="Q65">
        <v>1</v>
      </c>
      <c r="X65">
        <v>0.69</v>
      </c>
      <c r="Y65">
        <v>279.97000000000003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0.69</v>
      </c>
      <c r="AH65">
        <v>2</v>
      </c>
      <c r="AI65">
        <v>94799023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ROW(Source!A94)</f>
        <v>94</v>
      </c>
      <c r="B66">
        <v>94803477</v>
      </c>
      <c r="C66">
        <v>94799156</v>
      </c>
      <c r="D66">
        <v>23134628</v>
      </c>
      <c r="E66">
        <v>1</v>
      </c>
      <c r="F66">
        <v>1</v>
      </c>
      <c r="G66">
        <v>1</v>
      </c>
      <c r="H66">
        <v>1</v>
      </c>
      <c r="I66" t="s">
        <v>719</v>
      </c>
      <c r="J66" t="s">
        <v>3</v>
      </c>
      <c r="K66" t="s">
        <v>720</v>
      </c>
      <c r="L66">
        <v>1369</v>
      </c>
      <c r="N66">
        <v>1013</v>
      </c>
      <c r="O66" t="s">
        <v>696</v>
      </c>
      <c r="P66" t="s">
        <v>696</v>
      </c>
      <c r="Q66">
        <v>1</v>
      </c>
      <c r="X66">
        <v>219.09</v>
      </c>
      <c r="Y66">
        <v>0</v>
      </c>
      <c r="Z66">
        <v>0</v>
      </c>
      <c r="AA66">
        <v>0</v>
      </c>
      <c r="AB66">
        <v>8.68</v>
      </c>
      <c r="AC66">
        <v>0</v>
      </c>
      <c r="AD66">
        <v>1</v>
      </c>
      <c r="AE66">
        <v>1</v>
      </c>
      <c r="AF66" t="s">
        <v>3</v>
      </c>
      <c r="AG66">
        <v>219.09</v>
      </c>
      <c r="AH66">
        <v>2</v>
      </c>
      <c r="AI66">
        <v>94803477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ROW(Source!A94)</f>
        <v>94</v>
      </c>
      <c r="B67">
        <v>94803478</v>
      </c>
      <c r="C67">
        <v>94799156</v>
      </c>
      <c r="D67">
        <v>121548</v>
      </c>
      <c r="E67">
        <v>1</v>
      </c>
      <c r="F67">
        <v>1</v>
      </c>
      <c r="G67">
        <v>1</v>
      </c>
      <c r="H67">
        <v>1</v>
      </c>
      <c r="I67" t="s">
        <v>28</v>
      </c>
      <c r="J67" t="s">
        <v>3</v>
      </c>
      <c r="K67" t="s">
        <v>705</v>
      </c>
      <c r="L67">
        <v>608254</v>
      </c>
      <c r="N67">
        <v>1013</v>
      </c>
      <c r="O67" t="s">
        <v>706</v>
      </c>
      <c r="P67" t="s">
        <v>706</v>
      </c>
      <c r="Q67">
        <v>1</v>
      </c>
      <c r="X67">
        <v>20.36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2</v>
      </c>
      <c r="AF67" t="s">
        <v>3</v>
      </c>
      <c r="AG67">
        <v>20.36</v>
      </c>
      <c r="AH67">
        <v>2</v>
      </c>
      <c r="AI67">
        <v>94803478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ROW(Source!A94)</f>
        <v>94</v>
      </c>
      <c r="B68">
        <v>94803479</v>
      </c>
      <c r="C68">
        <v>94799156</v>
      </c>
      <c r="D68">
        <v>37802443</v>
      </c>
      <c r="E68">
        <v>1</v>
      </c>
      <c r="F68">
        <v>1</v>
      </c>
      <c r="G68">
        <v>1</v>
      </c>
      <c r="H68">
        <v>2</v>
      </c>
      <c r="I68" t="s">
        <v>721</v>
      </c>
      <c r="J68" t="s">
        <v>722</v>
      </c>
      <c r="K68" t="s">
        <v>723</v>
      </c>
      <c r="L68">
        <v>1368</v>
      </c>
      <c r="N68">
        <v>1011</v>
      </c>
      <c r="O68" t="s">
        <v>700</v>
      </c>
      <c r="P68" t="s">
        <v>700</v>
      </c>
      <c r="Q68">
        <v>1</v>
      </c>
      <c r="X68">
        <v>20.36</v>
      </c>
      <c r="Y68">
        <v>0</v>
      </c>
      <c r="Z68">
        <v>124.14</v>
      </c>
      <c r="AA68">
        <v>12.1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20.36</v>
      </c>
      <c r="AH68">
        <v>2</v>
      </c>
      <c r="AI68">
        <v>94803479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ROW(Source!A94)</f>
        <v>94</v>
      </c>
      <c r="B69">
        <v>94803480</v>
      </c>
      <c r="C69">
        <v>94799156</v>
      </c>
      <c r="D69">
        <v>37802643</v>
      </c>
      <c r="E69">
        <v>1</v>
      </c>
      <c r="F69">
        <v>1</v>
      </c>
      <c r="G69">
        <v>1</v>
      </c>
      <c r="H69">
        <v>2</v>
      </c>
      <c r="I69" t="s">
        <v>724</v>
      </c>
      <c r="J69" t="s">
        <v>725</v>
      </c>
      <c r="K69" t="s">
        <v>726</v>
      </c>
      <c r="L69">
        <v>1368</v>
      </c>
      <c r="N69">
        <v>1011</v>
      </c>
      <c r="O69" t="s">
        <v>700</v>
      </c>
      <c r="P69" t="s">
        <v>700</v>
      </c>
      <c r="Q69">
        <v>1</v>
      </c>
      <c r="X69">
        <v>6.91</v>
      </c>
      <c r="Y69">
        <v>0</v>
      </c>
      <c r="Z69">
        <v>20.350000000000001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6.91</v>
      </c>
      <c r="AH69">
        <v>2</v>
      </c>
      <c r="AI69">
        <v>94803480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ROW(Source!A94)</f>
        <v>94</v>
      </c>
      <c r="B70">
        <v>94803481</v>
      </c>
      <c r="C70">
        <v>94799156</v>
      </c>
      <c r="D70">
        <v>37802894</v>
      </c>
      <c r="E70">
        <v>1</v>
      </c>
      <c r="F70">
        <v>1</v>
      </c>
      <c r="G70">
        <v>1</v>
      </c>
      <c r="H70">
        <v>2</v>
      </c>
      <c r="I70" t="s">
        <v>727</v>
      </c>
      <c r="J70" t="s">
        <v>728</v>
      </c>
      <c r="K70" t="s">
        <v>729</v>
      </c>
      <c r="L70">
        <v>1368</v>
      </c>
      <c r="N70">
        <v>1011</v>
      </c>
      <c r="O70" t="s">
        <v>700</v>
      </c>
      <c r="P70" t="s">
        <v>700</v>
      </c>
      <c r="Q70">
        <v>1</v>
      </c>
      <c r="X70">
        <v>0.4</v>
      </c>
      <c r="Y70">
        <v>0</v>
      </c>
      <c r="Z70">
        <v>8.0299999999999994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0.4</v>
      </c>
      <c r="AH70">
        <v>2</v>
      </c>
      <c r="AI70">
        <v>94803481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ROW(Source!A94)</f>
        <v>94</v>
      </c>
      <c r="B71">
        <v>94803482</v>
      </c>
      <c r="C71">
        <v>94799156</v>
      </c>
      <c r="D71">
        <v>37804456</v>
      </c>
      <c r="E71">
        <v>1</v>
      </c>
      <c r="F71">
        <v>1</v>
      </c>
      <c r="G71">
        <v>1</v>
      </c>
      <c r="H71">
        <v>2</v>
      </c>
      <c r="I71" t="s">
        <v>713</v>
      </c>
      <c r="J71" t="s">
        <v>714</v>
      </c>
      <c r="K71" t="s">
        <v>715</v>
      </c>
      <c r="L71">
        <v>1368</v>
      </c>
      <c r="N71">
        <v>1011</v>
      </c>
      <c r="O71" t="s">
        <v>700</v>
      </c>
      <c r="P71" t="s">
        <v>700</v>
      </c>
      <c r="Q71">
        <v>1</v>
      </c>
      <c r="X71">
        <v>0.62</v>
      </c>
      <c r="Y71">
        <v>0</v>
      </c>
      <c r="Z71">
        <v>91.76</v>
      </c>
      <c r="AA71">
        <v>10.35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0.62</v>
      </c>
      <c r="AH71">
        <v>2</v>
      </c>
      <c r="AI71">
        <v>94803482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ROW(Source!A94)</f>
        <v>94</v>
      </c>
      <c r="B72">
        <v>94803483</v>
      </c>
      <c r="C72">
        <v>94799156</v>
      </c>
      <c r="D72">
        <v>37736279</v>
      </c>
      <c r="E72">
        <v>1</v>
      </c>
      <c r="F72">
        <v>1</v>
      </c>
      <c r="G72">
        <v>1</v>
      </c>
      <c r="H72">
        <v>3</v>
      </c>
      <c r="I72" t="s">
        <v>730</v>
      </c>
      <c r="J72" t="s">
        <v>731</v>
      </c>
      <c r="K72" t="s">
        <v>732</v>
      </c>
      <c r="L72">
        <v>1348</v>
      </c>
      <c r="N72">
        <v>1009</v>
      </c>
      <c r="O72" t="s">
        <v>170</v>
      </c>
      <c r="P72" t="s">
        <v>170</v>
      </c>
      <c r="Q72">
        <v>1000</v>
      </c>
      <c r="X72">
        <v>1E-3</v>
      </c>
      <c r="Y72">
        <v>10200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1E-3</v>
      </c>
      <c r="AH72">
        <v>2</v>
      </c>
      <c r="AI72">
        <v>94803483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ROW(Source!A94)</f>
        <v>94</v>
      </c>
      <c r="B73">
        <v>94803484</v>
      </c>
      <c r="C73">
        <v>94799156</v>
      </c>
      <c r="D73">
        <v>37735457</v>
      </c>
      <c r="E73">
        <v>1</v>
      </c>
      <c r="F73">
        <v>1</v>
      </c>
      <c r="G73">
        <v>1</v>
      </c>
      <c r="H73">
        <v>3</v>
      </c>
      <c r="I73" t="s">
        <v>733</v>
      </c>
      <c r="J73" t="s">
        <v>734</v>
      </c>
      <c r="K73" t="s">
        <v>735</v>
      </c>
      <c r="L73">
        <v>1327</v>
      </c>
      <c r="N73">
        <v>1005</v>
      </c>
      <c r="O73" t="s">
        <v>201</v>
      </c>
      <c r="P73" t="s">
        <v>201</v>
      </c>
      <c r="Q73">
        <v>1</v>
      </c>
      <c r="X73">
        <v>150</v>
      </c>
      <c r="Y73">
        <v>18.87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150</v>
      </c>
      <c r="AH73">
        <v>2</v>
      </c>
      <c r="AI73">
        <v>94803484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ROW(Source!A94)</f>
        <v>94</v>
      </c>
      <c r="B74">
        <v>94803485</v>
      </c>
      <c r="C74">
        <v>94799156</v>
      </c>
      <c r="D74">
        <v>37736612</v>
      </c>
      <c r="E74">
        <v>1</v>
      </c>
      <c r="F74">
        <v>1</v>
      </c>
      <c r="G74">
        <v>1</v>
      </c>
      <c r="H74">
        <v>3</v>
      </c>
      <c r="I74" t="s">
        <v>736</v>
      </c>
      <c r="J74" t="s">
        <v>737</v>
      </c>
      <c r="K74" t="s">
        <v>738</v>
      </c>
      <c r="L74">
        <v>1348</v>
      </c>
      <c r="N74">
        <v>1009</v>
      </c>
      <c r="O74" t="s">
        <v>170</v>
      </c>
      <c r="P74" t="s">
        <v>170</v>
      </c>
      <c r="Q74">
        <v>1000</v>
      </c>
      <c r="X74">
        <v>6.0000000000000001E-3</v>
      </c>
      <c r="Y74">
        <v>9424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6.0000000000000001E-3</v>
      </c>
      <c r="AH74">
        <v>2</v>
      </c>
      <c r="AI74">
        <v>94803485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ROW(Source!A94)</f>
        <v>94</v>
      </c>
      <c r="B75">
        <v>94803486</v>
      </c>
      <c r="C75">
        <v>94799156</v>
      </c>
      <c r="D75">
        <v>37751329</v>
      </c>
      <c r="E75">
        <v>1</v>
      </c>
      <c r="F75">
        <v>1</v>
      </c>
      <c r="G75">
        <v>1</v>
      </c>
      <c r="H75">
        <v>3</v>
      </c>
      <c r="I75" t="s">
        <v>739</v>
      </c>
      <c r="J75" t="s">
        <v>740</v>
      </c>
      <c r="K75" t="s">
        <v>741</v>
      </c>
      <c r="L75">
        <v>1348</v>
      </c>
      <c r="N75">
        <v>1009</v>
      </c>
      <c r="O75" t="s">
        <v>170</v>
      </c>
      <c r="P75" t="s">
        <v>170</v>
      </c>
      <c r="Q75">
        <v>1000</v>
      </c>
      <c r="X75">
        <v>2E-3</v>
      </c>
      <c r="Y75">
        <v>10045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2E-3</v>
      </c>
      <c r="AH75">
        <v>2</v>
      </c>
      <c r="AI75">
        <v>94803486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ROW(Source!A94)</f>
        <v>94</v>
      </c>
      <c r="B76">
        <v>94803487</v>
      </c>
      <c r="C76">
        <v>94799156</v>
      </c>
      <c r="D76">
        <v>37753213</v>
      </c>
      <c r="E76">
        <v>1</v>
      </c>
      <c r="F76">
        <v>1</v>
      </c>
      <c r="G76">
        <v>1</v>
      </c>
      <c r="H76">
        <v>3</v>
      </c>
      <c r="I76" t="s">
        <v>742</v>
      </c>
      <c r="J76" t="s">
        <v>743</v>
      </c>
      <c r="K76" t="s">
        <v>744</v>
      </c>
      <c r="L76">
        <v>1348</v>
      </c>
      <c r="N76">
        <v>1009</v>
      </c>
      <c r="O76" t="s">
        <v>170</v>
      </c>
      <c r="P76" t="s">
        <v>170</v>
      </c>
      <c r="Q76">
        <v>1000</v>
      </c>
      <c r="X76">
        <v>0.152</v>
      </c>
      <c r="Y76">
        <v>6260.66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0.152</v>
      </c>
      <c r="AH76">
        <v>2</v>
      </c>
      <c r="AI76">
        <v>94803487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ROW(Source!A94)</f>
        <v>94</v>
      </c>
      <c r="B77">
        <v>94803488</v>
      </c>
      <c r="C77">
        <v>94799156</v>
      </c>
      <c r="D77">
        <v>37767878</v>
      </c>
      <c r="E77">
        <v>1</v>
      </c>
      <c r="F77">
        <v>1</v>
      </c>
      <c r="G77">
        <v>1</v>
      </c>
      <c r="H77">
        <v>3</v>
      </c>
      <c r="I77" t="s">
        <v>745</v>
      </c>
      <c r="J77" t="s">
        <v>746</v>
      </c>
      <c r="K77" t="s">
        <v>747</v>
      </c>
      <c r="L77">
        <v>1339</v>
      </c>
      <c r="N77">
        <v>1007</v>
      </c>
      <c r="O77" t="s">
        <v>52</v>
      </c>
      <c r="P77" t="s">
        <v>52</v>
      </c>
      <c r="Q77">
        <v>1</v>
      </c>
      <c r="X77">
        <v>1.23</v>
      </c>
      <c r="Y77">
        <v>565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1.23</v>
      </c>
      <c r="AH77">
        <v>2</v>
      </c>
      <c r="AI77">
        <v>94803488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ROW(Source!A94)</f>
        <v>94</v>
      </c>
      <c r="B78">
        <v>94803489</v>
      </c>
      <c r="C78">
        <v>94799156</v>
      </c>
      <c r="D78">
        <v>37768002</v>
      </c>
      <c r="E78">
        <v>1</v>
      </c>
      <c r="F78">
        <v>1</v>
      </c>
      <c r="G78">
        <v>1</v>
      </c>
      <c r="H78">
        <v>3</v>
      </c>
      <c r="I78" t="s">
        <v>748</v>
      </c>
      <c r="J78" t="s">
        <v>749</v>
      </c>
      <c r="K78" t="s">
        <v>750</v>
      </c>
      <c r="L78">
        <v>1339</v>
      </c>
      <c r="N78">
        <v>1007</v>
      </c>
      <c r="O78" t="s">
        <v>52</v>
      </c>
      <c r="P78" t="s">
        <v>52</v>
      </c>
      <c r="Q78">
        <v>1</v>
      </c>
      <c r="X78">
        <v>7.0000000000000001E-3</v>
      </c>
      <c r="Y78">
        <v>389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7.0000000000000001E-3</v>
      </c>
      <c r="AH78">
        <v>2</v>
      </c>
      <c r="AI78">
        <v>94803489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ROW(Source!A94)</f>
        <v>94</v>
      </c>
      <c r="B79">
        <v>94803490</v>
      </c>
      <c r="C79">
        <v>94799156</v>
      </c>
      <c r="D79">
        <v>37776002</v>
      </c>
      <c r="E79">
        <v>1</v>
      </c>
      <c r="F79">
        <v>1</v>
      </c>
      <c r="G79">
        <v>1</v>
      </c>
      <c r="H79">
        <v>3</v>
      </c>
      <c r="I79" t="s">
        <v>65</v>
      </c>
      <c r="J79" t="s">
        <v>67</v>
      </c>
      <c r="K79" t="s">
        <v>66</v>
      </c>
      <c r="L79">
        <v>1354</v>
      </c>
      <c r="N79">
        <v>1010</v>
      </c>
      <c r="O79" t="s">
        <v>47</v>
      </c>
      <c r="P79" t="s">
        <v>47</v>
      </c>
      <c r="Q79">
        <v>1</v>
      </c>
      <c r="X79">
        <v>29.5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 t="s">
        <v>3</v>
      </c>
      <c r="AG79">
        <v>29.5</v>
      </c>
      <c r="AH79">
        <v>2</v>
      </c>
      <c r="AI79">
        <v>94803490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ROW(Source!A94)</f>
        <v>94</v>
      </c>
      <c r="B80">
        <v>94803491</v>
      </c>
      <c r="C80">
        <v>94799156</v>
      </c>
      <c r="D80">
        <v>37776723</v>
      </c>
      <c r="E80">
        <v>1</v>
      </c>
      <c r="F80">
        <v>1</v>
      </c>
      <c r="G80">
        <v>1</v>
      </c>
      <c r="H80">
        <v>3</v>
      </c>
      <c r="I80" t="s">
        <v>751</v>
      </c>
      <c r="J80" t="s">
        <v>752</v>
      </c>
      <c r="K80" t="s">
        <v>753</v>
      </c>
      <c r="L80">
        <v>1356</v>
      </c>
      <c r="N80">
        <v>1010</v>
      </c>
      <c r="O80" t="s">
        <v>754</v>
      </c>
      <c r="P80" t="s">
        <v>754</v>
      </c>
      <c r="Q80">
        <v>1000</v>
      </c>
      <c r="X80">
        <v>1.6E-2</v>
      </c>
      <c r="Y80">
        <v>794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1.6E-2</v>
      </c>
      <c r="AH80">
        <v>2</v>
      </c>
      <c r="AI80">
        <v>94803491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ROW(Source!A102)</f>
        <v>102</v>
      </c>
      <c r="B81">
        <v>94799542</v>
      </c>
      <c r="C81">
        <v>94799541</v>
      </c>
      <c r="D81">
        <v>23129805</v>
      </c>
      <c r="E81">
        <v>1</v>
      </c>
      <c r="F81">
        <v>1</v>
      </c>
      <c r="G81">
        <v>1</v>
      </c>
      <c r="H81">
        <v>1</v>
      </c>
      <c r="I81" t="s">
        <v>703</v>
      </c>
      <c r="J81" t="s">
        <v>3</v>
      </c>
      <c r="K81" t="s">
        <v>704</v>
      </c>
      <c r="L81">
        <v>1369</v>
      </c>
      <c r="N81">
        <v>1013</v>
      </c>
      <c r="O81" t="s">
        <v>696</v>
      </c>
      <c r="P81" t="s">
        <v>696</v>
      </c>
      <c r="Q81">
        <v>1</v>
      </c>
      <c r="X81">
        <v>35.64</v>
      </c>
      <c r="Y81">
        <v>0</v>
      </c>
      <c r="Z81">
        <v>0</v>
      </c>
      <c r="AA81">
        <v>0</v>
      </c>
      <c r="AB81">
        <v>7.97</v>
      </c>
      <c r="AC81">
        <v>0</v>
      </c>
      <c r="AD81">
        <v>1</v>
      </c>
      <c r="AE81">
        <v>1</v>
      </c>
      <c r="AF81" t="s">
        <v>3</v>
      </c>
      <c r="AG81">
        <v>35.64</v>
      </c>
      <c r="AH81">
        <v>2</v>
      </c>
      <c r="AI81">
        <v>94799542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ROW(Source!A102)</f>
        <v>102</v>
      </c>
      <c r="B82">
        <v>94799543</v>
      </c>
      <c r="C82">
        <v>94799541</v>
      </c>
      <c r="D82">
        <v>121548</v>
      </c>
      <c r="E82">
        <v>1</v>
      </c>
      <c r="F82">
        <v>1</v>
      </c>
      <c r="G82">
        <v>1</v>
      </c>
      <c r="H82">
        <v>1</v>
      </c>
      <c r="I82" t="s">
        <v>28</v>
      </c>
      <c r="J82" t="s">
        <v>3</v>
      </c>
      <c r="K82" t="s">
        <v>705</v>
      </c>
      <c r="L82">
        <v>608254</v>
      </c>
      <c r="N82">
        <v>1013</v>
      </c>
      <c r="O82" t="s">
        <v>706</v>
      </c>
      <c r="P82" t="s">
        <v>706</v>
      </c>
      <c r="Q82">
        <v>1</v>
      </c>
      <c r="X82">
        <v>21.67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2</v>
      </c>
      <c r="AF82" t="s">
        <v>3</v>
      </c>
      <c r="AG82">
        <v>21.67</v>
      </c>
      <c r="AH82">
        <v>2</v>
      </c>
      <c r="AI82">
        <v>94799543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ROW(Source!A102)</f>
        <v>102</v>
      </c>
      <c r="B83">
        <v>94799544</v>
      </c>
      <c r="C83">
        <v>94799541</v>
      </c>
      <c r="D83">
        <v>37802953</v>
      </c>
      <c r="E83">
        <v>1</v>
      </c>
      <c r="F83">
        <v>1</v>
      </c>
      <c r="G83">
        <v>1</v>
      </c>
      <c r="H83">
        <v>2</v>
      </c>
      <c r="I83" t="s">
        <v>707</v>
      </c>
      <c r="J83" t="s">
        <v>708</v>
      </c>
      <c r="K83" t="s">
        <v>709</v>
      </c>
      <c r="L83">
        <v>1368</v>
      </c>
      <c r="N83">
        <v>1011</v>
      </c>
      <c r="O83" t="s">
        <v>700</v>
      </c>
      <c r="P83" t="s">
        <v>700</v>
      </c>
      <c r="Q83">
        <v>1</v>
      </c>
      <c r="X83">
        <v>10.74</v>
      </c>
      <c r="Y83">
        <v>0</v>
      </c>
      <c r="Z83">
        <v>189</v>
      </c>
      <c r="AA83">
        <v>12.1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10.74</v>
      </c>
      <c r="AH83">
        <v>2</v>
      </c>
      <c r="AI83">
        <v>94799544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ROW(Source!A102)</f>
        <v>102</v>
      </c>
      <c r="B84">
        <v>94799545</v>
      </c>
      <c r="C84">
        <v>94799541</v>
      </c>
      <c r="D84">
        <v>37803498</v>
      </c>
      <c r="E84">
        <v>1</v>
      </c>
      <c r="F84">
        <v>1</v>
      </c>
      <c r="G84">
        <v>1</v>
      </c>
      <c r="H84">
        <v>2</v>
      </c>
      <c r="I84" t="s">
        <v>710</v>
      </c>
      <c r="J84" t="s">
        <v>711</v>
      </c>
      <c r="K84" t="s">
        <v>712</v>
      </c>
      <c r="L84">
        <v>1368</v>
      </c>
      <c r="N84">
        <v>1011</v>
      </c>
      <c r="O84" t="s">
        <v>700</v>
      </c>
      <c r="P84" t="s">
        <v>700</v>
      </c>
      <c r="Q84">
        <v>1</v>
      </c>
      <c r="X84">
        <v>10.93</v>
      </c>
      <c r="Y84">
        <v>0</v>
      </c>
      <c r="Z84">
        <v>123.86</v>
      </c>
      <c r="AA84">
        <v>10.35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10.93</v>
      </c>
      <c r="AH84">
        <v>2</v>
      </c>
      <c r="AI84">
        <v>94799545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ROW(Source!A102)</f>
        <v>102</v>
      </c>
      <c r="B85">
        <v>94799546</v>
      </c>
      <c r="C85">
        <v>94799541</v>
      </c>
      <c r="D85">
        <v>37804456</v>
      </c>
      <c r="E85">
        <v>1</v>
      </c>
      <c r="F85">
        <v>1</v>
      </c>
      <c r="G85">
        <v>1</v>
      </c>
      <c r="H85">
        <v>2</v>
      </c>
      <c r="I85" t="s">
        <v>713</v>
      </c>
      <c r="J85" t="s">
        <v>714</v>
      </c>
      <c r="K85" t="s">
        <v>715</v>
      </c>
      <c r="L85">
        <v>1368</v>
      </c>
      <c r="N85">
        <v>1011</v>
      </c>
      <c r="O85" t="s">
        <v>700</v>
      </c>
      <c r="P85" t="s">
        <v>700</v>
      </c>
      <c r="Q85">
        <v>1</v>
      </c>
      <c r="X85">
        <v>0.81</v>
      </c>
      <c r="Y85">
        <v>0</v>
      </c>
      <c r="Z85">
        <v>91.76</v>
      </c>
      <c r="AA85">
        <v>10.35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0.81</v>
      </c>
      <c r="AH85">
        <v>2</v>
      </c>
      <c r="AI85">
        <v>94799546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ROW(Source!A102)</f>
        <v>102</v>
      </c>
      <c r="B86">
        <v>94799547</v>
      </c>
      <c r="C86">
        <v>94799541</v>
      </c>
      <c r="D86">
        <v>37751670</v>
      </c>
      <c r="E86">
        <v>1</v>
      </c>
      <c r="F86">
        <v>1</v>
      </c>
      <c r="G86">
        <v>1</v>
      </c>
      <c r="H86">
        <v>3</v>
      </c>
      <c r="I86" t="s">
        <v>716</v>
      </c>
      <c r="J86" t="s">
        <v>717</v>
      </c>
      <c r="K86" t="s">
        <v>718</v>
      </c>
      <c r="L86">
        <v>1301</v>
      </c>
      <c r="N86">
        <v>1003</v>
      </c>
      <c r="O86" t="s">
        <v>368</v>
      </c>
      <c r="P86" t="s">
        <v>368</v>
      </c>
      <c r="Q86">
        <v>1</v>
      </c>
      <c r="X86">
        <v>55.9</v>
      </c>
      <c r="Y86">
        <v>4.2300000000000004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55.9</v>
      </c>
      <c r="AH86">
        <v>2</v>
      </c>
      <c r="AI86">
        <v>94799547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ROW(Source!A102)</f>
        <v>102</v>
      </c>
      <c r="B87">
        <v>94799548</v>
      </c>
      <c r="C87">
        <v>94799541</v>
      </c>
      <c r="D87">
        <v>37751161</v>
      </c>
      <c r="E87">
        <v>1</v>
      </c>
      <c r="F87">
        <v>1</v>
      </c>
      <c r="G87">
        <v>1</v>
      </c>
      <c r="H87">
        <v>3</v>
      </c>
      <c r="I87" t="s">
        <v>45</v>
      </c>
      <c r="J87" t="s">
        <v>48</v>
      </c>
      <c r="K87" t="s">
        <v>46</v>
      </c>
      <c r="L87">
        <v>1354</v>
      </c>
      <c r="N87">
        <v>1010</v>
      </c>
      <c r="O87" t="s">
        <v>47</v>
      </c>
      <c r="P87" t="s">
        <v>47</v>
      </c>
      <c r="Q87">
        <v>1</v>
      </c>
      <c r="X87">
        <v>100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 t="s">
        <v>3</v>
      </c>
      <c r="AG87">
        <v>100</v>
      </c>
      <c r="AH87">
        <v>2</v>
      </c>
      <c r="AI87">
        <v>94799548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ROW(Source!A102)</f>
        <v>102</v>
      </c>
      <c r="B88">
        <v>94799549</v>
      </c>
      <c r="C88">
        <v>94799541</v>
      </c>
      <c r="D88">
        <v>37767799</v>
      </c>
      <c r="E88">
        <v>1</v>
      </c>
      <c r="F88">
        <v>1</v>
      </c>
      <c r="G88">
        <v>1</v>
      </c>
      <c r="H88">
        <v>3</v>
      </c>
      <c r="I88" t="s">
        <v>50</v>
      </c>
      <c r="J88" t="s">
        <v>53</v>
      </c>
      <c r="K88" t="s">
        <v>51</v>
      </c>
      <c r="L88">
        <v>1339</v>
      </c>
      <c r="N88">
        <v>1007</v>
      </c>
      <c r="O88" t="s">
        <v>52</v>
      </c>
      <c r="P88" t="s">
        <v>52</v>
      </c>
      <c r="Q88">
        <v>1</v>
      </c>
      <c r="X88">
        <v>6.34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 t="s">
        <v>3</v>
      </c>
      <c r="AG88">
        <v>6.34</v>
      </c>
      <c r="AH88">
        <v>2</v>
      </c>
      <c r="AI88">
        <v>94799549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ROW(Source!A107)</f>
        <v>107</v>
      </c>
      <c r="B89">
        <v>94799555</v>
      </c>
      <c r="C89">
        <v>94799554</v>
      </c>
      <c r="D89">
        <v>23351395</v>
      </c>
      <c r="E89">
        <v>1</v>
      </c>
      <c r="F89">
        <v>1</v>
      </c>
      <c r="G89">
        <v>1</v>
      </c>
      <c r="H89">
        <v>1</v>
      </c>
      <c r="I89" t="s">
        <v>786</v>
      </c>
      <c r="J89" t="s">
        <v>3</v>
      </c>
      <c r="K89" t="s">
        <v>787</v>
      </c>
      <c r="L89">
        <v>1369</v>
      </c>
      <c r="N89">
        <v>1013</v>
      </c>
      <c r="O89" t="s">
        <v>696</v>
      </c>
      <c r="P89" t="s">
        <v>696</v>
      </c>
      <c r="Q89">
        <v>1</v>
      </c>
      <c r="X89">
        <v>120</v>
      </c>
      <c r="Y89">
        <v>0</v>
      </c>
      <c r="Z89">
        <v>0</v>
      </c>
      <c r="AA89">
        <v>0</v>
      </c>
      <c r="AB89">
        <v>8.99</v>
      </c>
      <c r="AC89">
        <v>0</v>
      </c>
      <c r="AD89">
        <v>1</v>
      </c>
      <c r="AE89">
        <v>1</v>
      </c>
      <c r="AF89" t="s">
        <v>3</v>
      </c>
      <c r="AG89">
        <v>120</v>
      </c>
      <c r="AH89">
        <v>2</v>
      </c>
      <c r="AI89">
        <v>94799555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ROW(Source!A107)</f>
        <v>107</v>
      </c>
      <c r="B90">
        <v>94799556</v>
      </c>
      <c r="C90">
        <v>94799554</v>
      </c>
      <c r="D90">
        <v>121548</v>
      </c>
      <c r="E90">
        <v>1</v>
      </c>
      <c r="F90">
        <v>1</v>
      </c>
      <c r="G90">
        <v>1</v>
      </c>
      <c r="H90">
        <v>1</v>
      </c>
      <c r="I90" t="s">
        <v>28</v>
      </c>
      <c r="J90" t="s">
        <v>3</v>
      </c>
      <c r="K90" t="s">
        <v>705</v>
      </c>
      <c r="L90">
        <v>608254</v>
      </c>
      <c r="N90">
        <v>1013</v>
      </c>
      <c r="O90" t="s">
        <v>706</v>
      </c>
      <c r="P90" t="s">
        <v>706</v>
      </c>
      <c r="Q90">
        <v>1</v>
      </c>
      <c r="X90">
        <v>1.34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2</v>
      </c>
      <c r="AF90" t="s">
        <v>3</v>
      </c>
      <c r="AG90">
        <v>1.34</v>
      </c>
      <c r="AH90">
        <v>2</v>
      </c>
      <c r="AI90">
        <v>94799556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ROW(Source!A107)</f>
        <v>107</v>
      </c>
      <c r="B91">
        <v>94799557</v>
      </c>
      <c r="C91">
        <v>94799554</v>
      </c>
      <c r="D91">
        <v>37802432</v>
      </c>
      <c r="E91">
        <v>1</v>
      </c>
      <c r="F91">
        <v>1</v>
      </c>
      <c r="G91">
        <v>1</v>
      </c>
      <c r="H91">
        <v>2</v>
      </c>
      <c r="I91" t="s">
        <v>788</v>
      </c>
      <c r="J91" t="s">
        <v>789</v>
      </c>
      <c r="K91" t="s">
        <v>790</v>
      </c>
      <c r="L91">
        <v>1368</v>
      </c>
      <c r="N91">
        <v>1011</v>
      </c>
      <c r="O91" t="s">
        <v>700</v>
      </c>
      <c r="P91" t="s">
        <v>700</v>
      </c>
      <c r="Q91">
        <v>1</v>
      </c>
      <c r="X91">
        <v>0.5</v>
      </c>
      <c r="Y91">
        <v>0</v>
      </c>
      <c r="Z91">
        <v>138.54</v>
      </c>
      <c r="AA91">
        <v>12.1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0.5</v>
      </c>
      <c r="AH91">
        <v>2</v>
      </c>
      <c r="AI91">
        <v>94799557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ROW(Source!A107)</f>
        <v>107</v>
      </c>
      <c r="B92">
        <v>94799558</v>
      </c>
      <c r="C92">
        <v>94799554</v>
      </c>
      <c r="D92">
        <v>37802544</v>
      </c>
      <c r="E92">
        <v>1</v>
      </c>
      <c r="F92">
        <v>1</v>
      </c>
      <c r="G92">
        <v>1</v>
      </c>
      <c r="H92">
        <v>2</v>
      </c>
      <c r="I92" t="s">
        <v>791</v>
      </c>
      <c r="J92" t="s">
        <v>792</v>
      </c>
      <c r="K92" t="s">
        <v>793</v>
      </c>
      <c r="L92">
        <v>1368</v>
      </c>
      <c r="N92">
        <v>1011</v>
      </c>
      <c r="O92" t="s">
        <v>700</v>
      </c>
      <c r="P92" t="s">
        <v>700</v>
      </c>
      <c r="Q92">
        <v>1</v>
      </c>
      <c r="X92">
        <v>1.37</v>
      </c>
      <c r="Y92">
        <v>0</v>
      </c>
      <c r="Z92">
        <v>7.11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1.37</v>
      </c>
      <c r="AH92">
        <v>2</v>
      </c>
      <c r="AI92">
        <v>94799558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ROW(Source!A107)</f>
        <v>107</v>
      </c>
      <c r="B93">
        <v>94799559</v>
      </c>
      <c r="C93">
        <v>94799554</v>
      </c>
      <c r="D93">
        <v>37802657</v>
      </c>
      <c r="E93">
        <v>1</v>
      </c>
      <c r="F93">
        <v>1</v>
      </c>
      <c r="G93">
        <v>1</v>
      </c>
      <c r="H93">
        <v>2</v>
      </c>
      <c r="I93" t="s">
        <v>794</v>
      </c>
      <c r="J93" t="s">
        <v>795</v>
      </c>
      <c r="K93" t="s">
        <v>796</v>
      </c>
      <c r="L93">
        <v>1368</v>
      </c>
      <c r="N93">
        <v>1011</v>
      </c>
      <c r="O93" t="s">
        <v>700</v>
      </c>
      <c r="P93" t="s">
        <v>700</v>
      </c>
      <c r="Q93">
        <v>1</v>
      </c>
      <c r="X93">
        <v>30.3</v>
      </c>
      <c r="Y93">
        <v>0</v>
      </c>
      <c r="Z93">
        <v>7.55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30.3</v>
      </c>
      <c r="AH93">
        <v>2</v>
      </c>
      <c r="AI93">
        <v>94799559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ROW(Source!A107)</f>
        <v>107</v>
      </c>
      <c r="B94">
        <v>94799560</v>
      </c>
      <c r="C94">
        <v>94799554</v>
      </c>
      <c r="D94">
        <v>37802659</v>
      </c>
      <c r="E94">
        <v>1</v>
      </c>
      <c r="F94">
        <v>1</v>
      </c>
      <c r="G94">
        <v>1</v>
      </c>
      <c r="H94">
        <v>2</v>
      </c>
      <c r="I94" t="s">
        <v>777</v>
      </c>
      <c r="J94" t="s">
        <v>778</v>
      </c>
      <c r="K94" t="s">
        <v>779</v>
      </c>
      <c r="L94">
        <v>1368</v>
      </c>
      <c r="N94">
        <v>1011</v>
      </c>
      <c r="O94" t="s">
        <v>700</v>
      </c>
      <c r="P94" t="s">
        <v>700</v>
      </c>
      <c r="Q94">
        <v>1</v>
      </c>
      <c r="X94">
        <v>1</v>
      </c>
      <c r="Y94">
        <v>0</v>
      </c>
      <c r="Z94">
        <v>1.43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1</v>
      </c>
      <c r="AH94">
        <v>2</v>
      </c>
      <c r="AI94">
        <v>94799560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ROW(Source!A107)</f>
        <v>107</v>
      </c>
      <c r="B95">
        <v>94799561</v>
      </c>
      <c r="C95">
        <v>94799554</v>
      </c>
      <c r="D95">
        <v>37804065</v>
      </c>
      <c r="E95">
        <v>1</v>
      </c>
      <c r="F95">
        <v>1</v>
      </c>
      <c r="G95">
        <v>1</v>
      </c>
      <c r="H95">
        <v>2</v>
      </c>
      <c r="I95" t="s">
        <v>797</v>
      </c>
      <c r="J95" t="s">
        <v>798</v>
      </c>
      <c r="K95" t="s">
        <v>799</v>
      </c>
      <c r="L95">
        <v>1368</v>
      </c>
      <c r="N95">
        <v>1011</v>
      </c>
      <c r="O95" t="s">
        <v>700</v>
      </c>
      <c r="P95" t="s">
        <v>700</v>
      </c>
      <c r="Q95">
        <v>1</v>
      </c>
      <c r="X95">
        <v>0.3</v>
      </c>
      <c r="Y95">
        <v>0</v>
      </c>
      <c r="Z95">
        <v>2.15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0.3</v>
      </c>
      <c r="AH95">
        <v>2</v>
      </c>
      <c r="AI95">
        <v>94799561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ROW(Source!A107)</f>
        <v>107</v>
      </c>
      <c r="B96">
        <v>94799562</v>
      </c>
      <c r="C96">
        <v>94799554</v>
      </c>
      <c r="D96">
        <v>37804071</v>
      </c>
      <c r="E96">
        <v>1</v>
      </c>
      <c r="F96">
        <v>1</v>
      </c>
      <c r="G96">
        <v>1</v>
      </c>
      <c r="H96">
        <v>2</v>
      </c>
      <c r="I96" t="s">
        <v>800</v>
      </c>
      <c r="J96" t="s">
        <v>801</v>
      </c>
      <c r="K96" t="s">
        <v>802</v>
      </c>
      <c r="L96">
        <v>1368</v>
      </c>
      <c r="N96">
        <v>1011</v>
      </c>
      <c r="O96" t="s">
        <v>700</v>
      </c>
      <c r="P96" t="s">
        <v>700</v>
      </c>
      <c r="Q96">
        <v>1</v>
      </c>
      <c r="X96">
        <v>1.1000000000000001</v>
      </c>
      <c r="Y96">
        <v>0</v>
      </c>
      <c r="Z96">
        <v>5.4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1.1000000000000001</v>
      </c>
      <c r="AH96">
        <v>2</v>
      </c>
      <c r="AI96">
        <v>94799562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ROW(Source!A107)</f>
        <v>107</v>
      </c>
      <c r="B97">
        <v>94799563</v>
      </c>
      <c r="C97">
        <v>94799554</v>
      </c>
      <c r="D97">
        <v>37804241</v>
      </c>
      <c r="E97">
        <v>1</v>
      </c>
      <c r="F97">
        <v>1</v>
      </c>
      <c r="G97">
        <v>1</v>
      </c>
      <c r="H97">
        <v>2</v>
      </c>
      <c r="I97" t="s">
        <v>803</v>
      </c>
      <c r="J97" t="s">
        <v>804</v>
      </c>
      <c r="K97" t="s">
        <v>805</v>
      </c>
      <c r="L97">
        <v>1368</v>
      </c>
      <c r="N97">
        <v>1011</v>
      </c>
      <c r="O97" t="s">
        <v>700</v>
      </c>
      <c r="P97" t="s">
        <v>700</v>
      </c>
      <c r="Q97">
        <v>1</v>
      </c>
      <c r="X97">
        <v>0.84</v>
      </c>
      <c r="Y97">
        <v>0</v>
      </c>
      <c r="Z97">
        <v>14.45</v>
      </c>
      <c r="AA97">
        <v>9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0.84</v>
      </c>
      <c r="AH97">
        <v>2</v>
      </c>
      <c r="AI97">
        <v>94799563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ROW(Source!A107)</f>
        <v>107</v>
      </c>
      <c r="B98">
        <v>94799564</v>
      </c>
      <c r="C98">
        <v>94799554</v>
      </c>
      <c r="D98">
        <v>37804457</v>
      </c>
      <c r="E98">
        <v>1</v>
      </c>
      <c r="F98">
        <v>1</v>
      </c>
      <c r="G98">
        <v>1</v>
      </c>
      <c r="H98">
        <v>2</v>
      </c>
      <c r="I98" t="s">
        <v>806</v>
      </c>
      <c r="J98" t="s">
        <v>807</v>
      </c>
      <c r="K98" t="s">
        <v>808</v>
      </c>
      <c r="L98">
        <v>1368</v>
      </c>
      <c r="N98">
        <v>1011</v>
      </c>
      <c r="O98" t="s">
        <v>700</v>
      </c>
      <c r="P98" t="s">
        <v>700</v>
      </c>
      <c r="Q98">
        <v>1</v>
      </c>
      <c r="X98">
        <v>0.5</v>
      </c>
      <c r="Y98">
        <v>0</v>
      </c>
      <c r="Z98">
        <v>102.97</v>
      </c>
      <c r="AA98">
        <v>10.35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0.5</v>
      </c>
      <c r="AH98">
        <v>2</v>
      </c>
      <c r="AI98">
        <v>94799564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ROW(Source!A107)</f>
        <v>107</v>
      </c>
      <c r="B99">
        <v>94799565</v>
      </c>
      <c r="C99">
        <v>94799554</v>
      </c>
      <c r="D99">
        <v>37729659</v>
      </c>
      <c r="E99">
        <v>1</v>
      </c>
      <c r="F99">
        <v>1</v>
      </c>
      <c r="G99">
        <v>1</v>
      </c>
      <c r="H99">
        <v>3</v>
      </c>
      <c r="I99" t="s">
        <v>187</v>
      </c>
      <c r="J99" t="s">
        <v>189</v>
      </c>
      <c r="K99" t="s">
        <v>188</v>
      </c>
      <c r="L99">
        <v>1339</v>
      </c>
      <c r="N99">
        <v>1007</v>
      </c>
      <c r="O99" t="s">
        <v>52</v>
      </c>
      <c r="P99" t="s">
        <v>52</v>
      </c>
      <c r="Q99">
        <v>1</v>
      </c>
      <c r="X99">
        <v>2.6</v>
      </c>
      <c r="Y99">
        <v>6.22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2.6</v>
      </c>
      <c r="AH99">
        <v>2</v>
      </c>
      <c r="AI99">
        <v>94799565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ROW(Source!A107)</f>
        <v>107</v>
      </c>
      <c r="B100">
        <v>94799566</v>
      </c>
      <c r="C100">
        <v>94799554</v>
      </c>
      <c r="D100">
        <v>37736454</v>
      </c>
      <c r="E100">
        <v>1</v>
      </c>
      <c r="F100">
        <v>1</v>
      </c>
      <c r="G100">
        <v>1</v>
      </c>
      <c r="H100">
        <v>3</v>
      </c>
      <c r="I100" t="s">
        <v>228</v>
      </c>
      <c r="J100" t="s">
        <v>230</v>
      </c>
      <c r="K100" t="s">
        <v>229</v>
      </c>
      <c r="L100">
        <v>1348</v>
      </c>
      <c r="N100">
        <v>1009</v>
      </c>
      <c r="O100" t="s">
        <v>170</v>
      </c>
      <c r="P100" t="s">
        <v>170</v>
      </c>
      <c r="Q100">
        <v>1000</v>
      </c>
      <c r="X100">
        <v>1.032</v>
      </c>
      <c r="Y100">
        <v>5903.6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1.032</v>
      </c>
      <c r="AH100">
        <v>2</v>
      </c>
      <c r="AI100">
        <v>94799566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ROW(Source!A107)</f>
        <v>107</v>
      </c>
      <c r="B101">
        <v>94799567</v>
      </c>
      <c r="C101">
        <v>94799554</v>
      </c>
      <c r="D101">
        <v>37736611</v>
      </c>
      <c r="E101">
        <v>1</v>
      </c>
      <c r="F101">
        <v>1</v>
      </c>
      <c r="G101">
        <v>1</v>
      </c>
      <c r="H101">
        <v>3</v>
      </c>
      <c r="I101" t="s">
        <v>809</v>
      </c>
      <c r="J101" t="s">
        <v>810</v>
      </c>
      <c r="K101" t="s">
        <v>811</v>
      </c>
      <c r="L101">
        <v>1348</v>
      </c>
      <c r="N101">
        <v>1009</v>
      </c>
      <c r="O101" t="s">
        <v>170</v>
      </c>
      <c r="P101" t="s">
        <v>170</v>
      </c>
      <c r="Q101">
        <v>1000</v>
      </c>
      <c r="X101">
        <v>2.1499999999999998E-2</v>
      </c>
      <c r="Y101">
        <v>10362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2.1499999999999998E-2</v>
      </c>
      <c r="AH101">
        <v>2</v>
      </c>
      <c r="AI101">
        <v>94799567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ROW(Source!A107)</f>
        <v>107</v>
      </c>
      <c r="B102">
        <v>94799568</v>
      </c>
      <c r="C102">
        <v>94799554</v>
      </c>
      <c r="D102">
        <v>37729662</v>
      </c>
      <c r="E102">
        <v>1</v>
      </c>
      <c r="F102">
        <v>1</v>
      </c>
      <c r="G102">
        <v>1</v>
      </c>
      <c r="H102">
        <v>3</v>
      </c>
      <c r="I102" t="s">
        <v>812</v>
      </c>
      <c r="J102" t="s">
        <v>813</v>
      </c>
      <c r="K102" t="s">
        <v>814</v>
      </c>
      <c r="L102">
        <v>1346</v>
      </c>
      <c r="N102">
        <v>1009</v>
      </c>
      <c r="O102" t="s">
        <v>192</v>
      </c>
      <c r="P102" t="s">
        <v>192</v>
      </c>
      <c r="Q102">
        <v>1</v>
      </c>
      <c r="X102">
        <v>0.5</v>
      </c>
      <c r="Y102">
        <v>6.62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0.5</v>
      </c>
      <c r="AH102">
        <v>2</v>
      </c>
      <c r="AI102">
        <v>94799568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ROW(Source!A107)</f>
        <v>107</v>
      </c>
      <c r="B103">
        <v>94799569</v>
      </c>
      <c r="C103">
        <v>94799554</v>
      </c>
      <c r="D103">
        <v>37801918</v>
      </c>
      <c r="E103">
        <v>1</v>
      </c>
      <c r="F103">
        <v>1</v>
      </c>
      <c r="G103">
        <v>1</v>
      </c>
      <c r="H103">
        <v>3</v>
      </c>
      <c r="I103" t="s">
        <v>815</v>
      </c>
      <c r="J103" t="s">
        <v>816</v>
      </c>
      <c r="K103" t="s">
        <v>817</v>
      </c>
      <c r="L103">
        <v>1374</v>
      </c>
      <c r="N103">
        <v>1013</v>
      </c>
      <c r="O103" t="s">
        <v>818</v>
      </c>
      <c r="P103" t="s">
        <v>818</v>
      </c>
      <c r="Q103">
        <v>1</v>
      </c>
      <c r="X103">
        <v>21.58</v>
      </c>
      <c r="Y103">
        <v>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21.58</v>
      </c>
      <c r="AH103">
        <v>2</v>
      </c>
      <c r="AI103">
        <v>94799569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ROW(Source!A113)</f>
        <v>113</v>
      </c>
      <c r="B104">
        <v>94799181</v>
      </c>
      <c r="C104">
        <v>94799180</v>
      </c>
      <c r="D104">
        <v>23146451</v>
      </c>
      <c r="E104">
        <v>1</v>
      </c>
      <c r="F104">
        <v>1</v>
      </c>
      <c r="G104">
        <v>1</v>
      </c>
      <c r="H104">
        <v>1</v>
      </c>
      <c r="I104" t="s">
        <v>819</v>
      </c>
      <c r="J104" t="s">
        <v>3</v>
      </c>
      <c r="K104" t="s">
        <v>820</v>
      </c>
      <c r="L104">
        <v>1369</v>
      </c>
      <c r="N104">
        <v>1013</v>
      </c>
      <c r="O104" t="s">
        <v>696</v>
      </c>
      <c r="P104" t="s">
        <v>696</v>
      </c>
      <c r="Q104">
        <v>1</v>
      </c>
      <c r="X104">
        <v>46.37</v>
      </c>
      <c r="Y104">
        <v>0</v>
      </c>
      <c r="Z104">
        <v>0</v>
      </c>
      <c r="AA104">
        <v>0</v>
      </c>
      <c r="AB104">
        <v>9.4</v>
      </c>
      <c r="AC104">
        <v>0</v>
      </c>
      <c r="AD104">
        <v>1</v>
      </c>
      <c r="AE104">
        <v>1</v>
      </c>
      <c r="AF104" t="s">
        <v>3</v>
      </c>
      <c r="AG104">
        <v>46.37</v>
      </c>
      <c r="AH104">
        <v>2</v>
      </c>
      <c r="AI104">
        <v>94799181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ROW(Source!A113)</f>
        <v>113</v>
      </c>
      <c r="B105">
        <v>94799182</v>
      </c>
      <c r="C105">
        <v>94799180</v>
      </c>
      <c r="D105">
        <v>121548</v>
      </c>
      <c r="E105">
        <v>1</v>
      </c>
      <c r="F105">
        <v>1</v>
      </c>
      <c r="G105">
        <v>1</v>
      </c>
      <c r="H105">
        <v>1</v>
      </c>
      <c r="I105" t="s">
        <v>28</v>
      </c>
      <c r="J105" t="s">
        <v>3</v>
      </c>
      <c r="K105" t="s">
        <v>705</v>
      </c>
      <c r="L105">
        <v>608254</v>
      </c>
      <c r="N105">
        <v>1013</v>
      </c>
      <c r="O105" t="s">
        <v>706</v>
      </c>
      <c r="P105" t="s">
        <v>706</v>
      </c>
      <c r="Q105">
        <v>1</v>
      </c>
      <c r="X105">
        <v>8.68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2</v>
      </c>
      <c r="AF105" t="s">
        <v>3</v>
      </c>
      <c r="AG105">
        <v>8.68</v>
      </c>
      <c r="AH105">
        <v>2</v>
      </c>
      <c r="AI105">
        <v>94799182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ROW(Source!A113)</f>
        <v>113</v>
      </c>
      <c r="B106">
        <v>94799183</v>
      </c>
      <c r="C106">
        <v>94799180</v>
      </c>
      <c r="D106">
        <v>37802375</v>
      </c>
      <c r="E106">
        <v>1</v>
      </c>
      <c r="F106">
        <v>1</v>
      </c>
      <c r="G106">
        <v>1</v>
      </c>
      <c r="H106">
        <v>2</v>
      </c>
      <c r="I106" t="s">
        <v>821</v>
      </c>
      <c r="J106" t="s">
        <v>822</v>
      </c>
      <c r="K106" t="s">
        <v>823</v>
      </c>
      <c r="L106">
        <v>1368</v>
      </c>
      <c r="N106">
        <v>1011</v>
      </c>
      <c r="O106" t="s">
        <v>700</v>
      </c>
      <c r="P106" t="s">
        <v>700</v>
      </c>
      <c r="Q106">
        <v>1</v>
      </c>
      <c r="X106">
        <v>0.42</v>
      </c>
      <c r="Y106">
        <v>0</v>
      </c>
      <c r="Z106">
        <v>159.85</v>
      </c>
      <c r="AA106">
        <v>13.78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0.42</v>
      </c>
      <c r="AH106">
        <v>2</v>
      </c>
      <c r="AI106">
        <v>94799183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ROW(Source!A113)</f>
        <v>113</v>
      </c>
      <c r="B107">
        <v>94799184</v>
      </c>
      <c r="C107">
        <v>94799180</v>
      </c>
      <c r="D107">
        <v>37802443</v>
      </c>
      <c r="E107">
        <v>1</v>
      </c>
      <c r="F107">
        <v>1</v>
      </c>
      <c r="G107">
        <v>1</v>
      </c>
      <c r="H107">
        <v>2</v>
      </c>
      <c r="I107" t="s">
        <v>721</v>
      </c>
      <c r="J107" t="s">
        <v>722</v>
      </c>
      <c r="K107" t="s">
        <v>723</v>
      </c>
      <c r="L107">
        <v>1368</v>
      </c>
      <c r="N107">
        <v>1011</v>
      </c>
      <c r="O107" t="s">
        <v>700</v>
      </c>
      <c r="P107" t="s">
        <v>700</v>
      </c>
      <c r="Q107">
        <v>1</v>
      </c>
      <c r="X107">
        <v>0.12</v>
      </c>
      <c r="Y107">
        <v>0</v>
      </c>
      <c r="Z107">
        <v>124.14</v>
      </c>
      <c r="AA107">
        <v>12.1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0.12</v>
      </c>
      <c r="AH107">
        <v>2</v>
      </c>
      <c r="AI107">
        <v>94799184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ROW(Source!A113)</f>
        <v>113</v>
      </c>
      <c r="B108">
        <v>94799185</v>
      </c>
      <c r="C108">
        <v>94799180</v>
      </c>
      <c r="D108">
        <v>37802467</v>
      </c>
      <c r="E108">
        <v>1</v>
      </c>
      <c r="F108">
        <v>1</v>
      </c>
      <c r="G108">
        <v>1</v>
      </c>
      <c r="H108">
        <v>2</v>
      </c>
      <c r="I108" t="s">
        <v>824</v>
      </c>
      <c r="J108" t="s">
        <v>825</v>
      </c>
      <c r="K108" t="s">
        <v>826</v>
      </c>
      <c r="L108">
        <v>1368</v>
      </c>
      <c r="N108">
        <v>1011</v>
      </c>
      <c r="O108" t="s">
        <v>700</v>
      </c>
      <c r="P108" t="s">
        <v>700</v>
      </c>
      <c r="Q108">
        <v>1</v>
      </c>
      <c r="X108">
        <v>4.07</v>
      </c>
      <c r="Y108">
        <v>0</v>
      </c>
      <c r="Z108">
        <v>576.84</v>
      </c>
      <c r="AA108">
        <v>25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4.07</v>
      </c>
      <c r="AH108">
        <v>2</v>
      </c>
      <c r="AI108">
        <v>94799185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ROW(Source!A113)</f>
        <v>113</v>
      </c>
      <c r="B109">
        <v>94799186</v>
      </c>
      <c r="C109">
        <v>94799180</v>
      </c>
      <c r="D109">
        <v>37802530</v>
      </c>
      <c r="E109">
        <v>1</v>
      </c>
      <c r="F109">
        <v>1</v>
      </c>
      <c r="G109">
        <v>1</v>
      </c>
      <c r="H109">
        <v>2</v>
      </c>
      <c r="I109" t="s">
        <v>827</v>
      </c>
      <c r="J109" t="s">
        <v>828</v>
      </c>
      <c r="K109" t="s">
        <v>829</v>
      </c>
      <c r="L109">
        <v>1368</v>
      </c>
      <c r="N109">
        <v>1011</v>
      </c>
      <c r="O109" t="s">
        <v>700</v>
      </c>
      <c r="P109" t="s">
        <v>700</v>
      </c>
      <c r="Q109">
        <v>1</v>
      </c>
      <c r="X109">
        <v>0.1</v>
      </c>
      <c r="Y109">
        <v>0</v>
      </c>
      <c r="Z109">
        <v>1.52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0.1</v>
      </c>
      <c r="AH109">
        <v>2</v>
      </c>
      <c r="AI109">
        <v>94799186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ROW(Source!A113)</f>
        <v>113</v>
      </c>
      <c r="B110">
        <v>94799187</v>
      </c>
      <c r="C110">
        <v>94799180</v>
      </c>
      <c r="D110">
        <v>37802541</v>
      </c>
      <c r="E110">
        <v>1</v>
      </c>
      <c r="F110">
        <v>1</v>
      </c>
      <c r="G110">
        <v>1</v>
      </c>
      <c r="H110">
        <v>2</v>
      </c>
      <c r="I110" t="s">
        <v>830</v>
      </c>
      <c r="J110" t="s">
        <v>831</v>
      </c>
      <c r="K110" t="s">
        <v>832</v>
      </c>
      <c r="L110">
        <v>1368</v>
      </c>
      <c r="N110">
        <v>1011</v>
      </c>
      <c r="O110" t="s">
        <v>700</v>
      </c>
      <c r="P110" t="s">
        <v>700</v>
      </c>
      <c r="Q110">
        <v>1</v>
      </c>
      <c r="X110">
        <v>0.34</v>
      </c>
      <c r="Y110">
        <v>0</v>
      </c>
      <c r="Z110">
        <v>1.85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0.34</v>
      </c>
      <c r="AH110">
        <v>2</v>
      </c>
      <c r="AI110">
        <v>94799187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ROW(Source!A113)</f>
        <v>113</v>
      </c>
      <c r="B111">
        <v>94799188</v>
      </c>
      <c r="C111">
        <v>94799180</v>
      </c>
      <c r="D111">
        <v>37802544</v>
      </c>
      <c r="E111">
        <v>1</v>
      </c>
      <c r="F111">
        <v>1</v>
      </c>
      <c r="G111">
        <v>1</v>
      </c>
      <c r="H111">
        <v>2</v>
      </c>
      <c r="I111" t="s">
        <v>791</v>
      </c>
      <c r="J111" t="s">
        <v>792</v>
      </c>
      <c r="K111" t="s">
        <v>793</v>
      </c>
      <c r="L111">
        <v>1368</v>
      </c>
      <c r="N111">
        <v>1011</v>
      </c>
      <c r="O111" t="s">
        <v>700</v>
      </c>
      <c r="P111" t="s">
        <v>700</v>
      </c>
      <c r="Q111">
        <v>1</v>
      </c>
      <c r="X111">
        <v>0.09</v>
      </c>
      <c r="Y111">
        <v>0</v>
      </c>
      <c r="Z111">
        <v>7.11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0.09</v>
      </c>
      <c r="AH111">
        <v>2</v>
      </c>
      <c r="AI111">
        <v>94799188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ROW(Source!A113)</f>
        <v>113</v>
      </c>
      <c r="B112">
        <v>94799189</v>
      </c>
      <c r="C112">
        <v>94799180</v>
      </c>
      <c r="D112">
        <v>37802659</v>
      </c>
      <c r="E112">
        <v>1</v>
      </c>
      <c r="F112">
        <v>1</v>
      </c>
      <c r="G112">
        <v>1</v>
      </c>
      <c r="H112">
        <v>2</v>
      </c>
      <c r="I112" t="s">
        <v>777</v>
      </c>
      <c r="J112" t="s">
        <v>778</v>
      </c>
      <c r="K112" t="s">
        <v>779</v>
      </c>
      <c r="L112">
        <v>1368</v>
      </c>
      <c r="N112">
        <v>1011</v>
      </c>
      <c r="O112" t="s">
        <v>700</v>
      </c>
      <c r="P112" t="s">
        <v>700</v>
      </c>
      <c r="Q112">
        <v>1</v>
      </c>
      <c r="X112">
        <v>2.2400000000000002</v>
      </c>
      <c r="Y112">
        <v>0</v>
      </c>
      <c r="Z112">
        <v>1.43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2.2400000000000002</v>
      </c>
      <c r="AH112">
        <v>2</v>
      </c>
      <c r="AI112">
        <v>94799189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ROW(Source!A113)</f>
        <v>113</v>
      </c>
      <c r="B113">
        <v>94799190</v>
      </c>
      <c r="C113">
        <v>94799180</v>
      </c>
      <c r="D113">
        <v>37802669</v>
      </c>
      <c r="E113">
        <v>1</v>
      </c>
      <c r="F113">
        <v>1</v>
      </c>
      <c r="G113">
        <v>1</v>
      </c>
      <c r="H113">
        <v>2</v>
      </c>
      <c r="I113" t="s">
        <v>833</v>
      </c>
      <c r="J113" t="s">
        <v>834</v>
      </c>
      <c r="K113" t="s">
        <v>835</v>
      </c>
      <c r="L113">
        <v>1368</v>
      </c>
      <c r="N113">
        <v>1011</v>
      </c>
      <c r="O113" t="s">
        <v>700</v>
      </c>
      <c r="P113" t="s">
        <v>700</v>
      </c>
      <c r="Q113">
        <v>1</v>
      </c>
      <c r="X113">
        <v>15.01</v>
      </c>
      <c r="Y113">
        <v>0</v>
      </c>
      <c r="Z113">
        <v>9.6999999999999993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15.01</v>
      </c>
      <c r="AH113">
        <v>2</v>
      </c>
      <c r="AI113">
        <v>94799190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ROW(Source!A113)</f>
        <v>113</v>
      </c>
      <c r="B114">
        <v>94799191</v>
      </c>
      <c r="C114">
        <v>94799180</v>
      </c>
      <c r="D114">
        <v>37802676</v>
      </c>
      <c r="E114">
        <v>1</v>
      </c>
      <c r="F114">
        <v>1</v>
      </c>
      <c r="G114">
        <v>1</v>
      </c>
      <c r="H114">
        <v>2</v>
      </c>
      <c r="I114" t="s">
        <v>836</v>
      </c>
      <c r="J114" t="s">
        <v>837</v>
      </c>
      <c r="K114" t="s">
        <v>838</v>
      </c>
      <c r="L114">
        <v>1368</v>
      </c>
      <c r="N114">
        <v>1011</v>
      </c>
      <c r="O114" t="s">
        <v>700</v>
      </c>
      <c r="P114" t="s">
        <v>700</v>
      </c>
      <c r="Q114">
        <v>1</v>
      </c>
      <c r="X114">
        <v>2.0099999999999998</v>
      </c>
      <c r="Y114">
        <v>0</v>
      </c>
      <c r="Z114">
        <v>6.4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2.0099999999999998</v>
      </c>
      <c r="AH114">
        <v>2</v>
      </c>
      <c r="AI114">
        <v>94799191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ROW(Source!A113)</f>
        <v>113</v>
      </c>
      <c r="B115">
        <v>94799192</v>
      </c>
      <c r="C115">
        <v>94799180</v>
      </c>
      <c r="D115">
        <v>37804065</v>
      </c>
      <c r="E115">
        <v>1</v>
      </c>
      <c r="F115">
        <v>1</v>
      </c>
      <c r="G115">
        <v>1</v>
      </c>
      <c r="H115">
        <v>2</v>
      </c>
      <c r="I115" t="s">
        <v>797</v>
      </c>
      <c r="J115" t="s">
        <v>798</v>
      </c>
      <c r="K115" t="s">
        <v>799</v>
      </c>
      <c r="L115">
        <v>1368</v>
      </c>
      <c r="N115">
        <v>1011</v>
      </c>
      <c r="O115" t="s">
        <v>700</v>
      </c>
      <c r="P115" t="s">
        <v>700</v>
      </c>
      <c r="Q115">
        <v>1</v>
      </c>
      <c r="X115">
        <v>0.18</v>
      </c>
      <c r="Y115">
        <v>0</v>
      </c>
      <c r="Z115">
        <v>2.15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0.18</v>
      </c>
      <c r="AH115">
        <v>2</v>
      </c>
      <c r="AI115">
        <v>94799192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ROW(Source!A113)</f>
        <v>113</v>
      </c>
      <c r="B116">
        <v>94799193</v>
      </c>
      <c r="C116">
        <v>94799180</v>
      </c>
      <c r="D116">
        <v>37804071</v>
      </c>
      <c r="E116">
        <v>1</v>
      </c>
      <c r="F116">
        <v>1</v>
      </c>
      <c r="G116">
        <v>1</v>
      </c>
      <c r="H116">
        <v>2</v>
      </c>
      <c r="I116" t="s">
        <v>800</v>
      </c>
      <c r="J116" t="s">
        <v>801</v>
      </c>
      <c r="K116" t="s">
        <v>802</v>
      </c>
      <c r="L116">
        <v>1368</v>
      </c>
      <c r="N116">
        <v>1011</v>
      </c>
      <c r="O116" t="s">
        <v>700</v>
      </c>
      <c r="P116" t="s">
        <v>700</v>
      </c>
      <c r="Q116">
        <v>1</v>
      </c>
      <c r="X116">
        <v>0.17</v>
      </c>
      <c r="Y116">
        <v>0</v>
      </c>
      <c r="Z116">
        <v>5.4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0.17</v>
      </c>
      <c r="AH116">
        <v>2</v>
      </c>
      <c r="AI116">
        <v>94799193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ROW(Source!A113)</f>
        <v>113</v>
      </c>
      <c r="B117">
        <v>94799194</v>
      </c>
      <c r="C117">
        <v>94799180</v>
      </c>
      <c r="D117">
        <v>37804456</v>
      </c>
      <c r="E117">
        <v>1</v>
      </c>
      <c r="F117">
        <v>1</v>
      </c>
      <c r="G117">
        <v>1</v>
      </c>
      <c r="H117">
        <v>2</v>
      </c>
      <c r="I117" t="s">
        <v>713</v>
      </c>
      <c r="J117" t="s">
        <v>714</v>
      </c>
      <c r="K117" t="s">
        <v>715</v>
      </c>
      <c r="L117">
        <v>1368</v>
      </c>
      <c r="N117">
        <v>1011</v>
      </c>
      <c r="O117" t="s">
        <v>700</v>
      </c>
      <c r="P117" t="s">
        <v>700</v>
      </c>
      <c r="Q117">
        <v>1</v>
      </c>
      <c r="X117">
        <v>0.19</v>
      </c>
      <c r="Y117">
        <v>0</v>
      </c>
      <c r="Z117">
        <v>91.76</v>
      </c>
      <c r="AA117">
        <v>10.35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0.19</v>
      </c>
      <c r="AH117">
        <v>2</v>
      </c>
      <c r="AI117">
        <v>94799194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ROW(Source!A113)</f>
        <v>113</v>
      </c>
      <c r="B118">
        <v>94799195</v>
      </c>
      <c r="C118">
        <v>94799180</v>
      </c>
      <c r="D118">
        <v>37730053</v>
      </c>
      <c r="E118">
        <v>1</v>
      </c>
      <c r="F118">
        <v>1</v>
      </c>
      <c r="G118">
        <v>1</v>
      </c>
      <c r="H118">
        <v>3</v>
      </c>
      <c r="I118" t="s">
        <v>839</v>
      </c>
      <c r="J118" t="s">
        <v>840</v>
      </c>
      <c r="K118" t="s">
        <v>841</v>
      </c>
      <c r="L118">
        <v>1348</v>
      </c>
      <c r="N118">
        <v>1009</v>
      </c>
      <c r="O118" t="s">
        <v>170</v>
      </c>
      <c r="P118" t="s">
        <v>170</v>
      </c>
      <c r="Q118">
        <v>1000</v>
      </c>
      <c r="X118">
        <v>1E-4</v>
      </c>
      <c r="Y118">
        <v>37900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1E-4</v>
      </c>
      <c r="AH118">
        <v>2</v>
      </c>
      <c r="AI118">
        <v>94799195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ROW(Source!A113)</f>
        <v>113</v>
      </c>
      <c r="B119">
        <v>94799196</v>
      </c>
      <c r="C119">
        <v>94799180</v>
      </c>
      <c r="D119">
        <v>37729659</v>
      </c>
      <c r="E119">
        <v>1</v>
      </c>
      <c r="F119">
        <v>1</v>
      </c>
      <c r="G119">
        <v>1</v>
      </c>
      <c r="H119">
        <v>3</v>
      </c>
      <c r="I119" t="s">
        <v>187</v>
      </c>
      <c r="J119" t="s">
        <v>189</v>
      </c>
      <c r="K119" t="s">
        <v>188</v>
      </c>
      <c r="L119">
        <v>1339</v>
      </c>
      <c r="N119">
        <v>1007</v>
      </c>
      <c r="O119" t="s">
        <v>52</v>
      </c>
      <c r="P119" t="s">
        <v>52</v>
      </c>
      <c r="Q119">
        <v>1</v>
      </c>
      <c r="X119">
        <v>1.95</v>
      </c>
      <c r="Y119">
        <v>6.22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1.95</v>
      </c>
      <c r="AH119">
        <v>2</v>
      </c>
      <c r="AI119">
        <v>94799196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ROW(Source!A113)</f>
        <v>113</v>
      </c>
      <c r="B120">
        <v>94799197</v>
      </c>
      <c r="C120">
        <v>94799180</v>
      </c>
      <c r="D120">
        <v>37736264</v>
      </c>
      <c r="E120">
        <v>1</v>
      </c>
      <c r="F120">
        <v>1</v>
      </c>
      <c r="G120">
        <v>1</v>
      </c>
      <c r="H120">
        <v>3</v>
      </c>
      <c r="I120" t="s">
        <v>842</v>
      </c>
      <c r="J120" t="s">
        <v>843</v>
      </c>
      <c r="K120" t="s">
        <v>844</v>
      </c>
      <c r="L120">
        <v>1348</v>
      </c>
      <c r="N120">
        <v>1009</v>
      </c>
      <c r="O120" t="s">
        <v>170</v>
      </c>
      <c r="P120" t="s">
        <v>170</v>
      </c>
      <c r="Q120">
        <v>1000</v>
      </c>
      <c r="X120">
        <v>3.0000000000000001E-5</v>
      </c>
      <c r="Y120">
        <v>4455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3.0000000000000001E-5</v>
      </c>
      <c r="AH120">
        <v>2</v>
      </c>
      <c r="AI120">
        <v>94799197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ROW(Source!A113)</f>
        <v>113</v>
      </c>
      <c r="B121">
        <v>94799198</v>
      </c>
      <c r="C121">
        <v>94799180</v>
      </c>
      <c r="D121">
        <v>37736447</v>
      </c>
      <c r="E121">
        <v>1</v>
      </c>
      <c r="F121">
        <v>1</v>
      </c>
      <c r="G121">
        <v>1</v>
      </c>
      <c r="H121">
        <v>3</v>
      </c>
      <c r="I121" t="s">
        <v>845</v>
      </c>
      <c r="J121" t="s">
        <v>846</v>
      </c>
      <c r="K121" t="s">
        <v>847</v>
      </c>
      <c r="L121">
        <v>1348</v>
      </c>
      <c r="N121">
        <v>1009</v>
      </c>
      <c r="O121" t="s">
        <v>170</v>
      </c>
      <c r="P121" t="s">
        <v>170</v>
      </c>
      <c r="Q121">
        <v>1000</v>
      </c>
      <c r="X121">
        <v>1.9400000000000001E-3</v>
      </c>
      <c r="Y121">
        <v>5191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1.9400000000000001E-3</v>
      </c>
      <c r="AH121">
        <v>2</v>
      </c>
      <c r="AI121">
        <v>94799198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ROW(Source!A113)</f>
        <v>113</v>
      </c>
      <c r="B122">
        <v>94799199</v>
      </c>
      <c r="C122">
        <v>94799180</v>
      </c>
      <c r="D122">
        <v>37736620</v>
      </c>
      <c r="E122">
        <v>1</v>
      </c>
      <c r="F122">
        <v>1</v>
      </c>
      <c r="G122">
        <v>1</v>
      </c>
      <c r="H122">
        <v>3</v>
      </c>
      <c r="I122" t="s">
        <v>848</v>
      </c>
      <c r="J122" t="s">
        <v>849</v>
      </c>
      <c r="K122" t="s">
        <v>850</v>
      </c>
      <c r="L122">
        <v>1348</v>
      </c>
      <c r="N122">
        <v>1009</v>
      </c>
      <c r="O122" t="s">
        <v>170</v>
      </c>
      <c r="P122" t="s">
        <v>170</v>
      </c>
      <c r="Q122">
        <v>1000</v>
      </c>
      <c r="X122">
        <v>2.3E-2</v>
      </c>
      <c r="Y122">
        <v>10170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2.3E-2</v>
      </c>
      <c r="AH122">
        <v>2</v>
      </c>
      <c r="AI122">
        <v>94799199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ROW(Source!A113)</f>
        <v>113</v>
      </c>
      <c r="B123">
        <v>94799200</v>
      </c>
      <c r="C123">
        <v>94799180</v>
      </c>
      <c r="D123">
        <v>37736859</v>
      </c>
      <c r="E123">
        <v>1</v>
      </c>
      <c r="F123">
        <v>1</v>
      </c>
      <c r="G123">
        <v>1</v>
      </c>
      <c r="H123">
        <v>3</v>
      </c>
      <c r="I123" t="s">
        <v>252</v>
      </c>
      <c r="J123" t="s">
        <v>254</v>
      </c>
      <c r="K123" t="s">
        <v>253</v>
      </c>
      <c r="L123">
        <v>1348</v>
      </c>
      <c r="N123">
        <v>1009</v>
      </c>
      <c r="O123" t="s">
        <v>170</v>
      </c>
      <c r="P123" t="s">
        <v>170</v>
      </c>
      <c r="Q123">
        <v>1000</v>
      </c>
      <c r="X123">
        <v>0</v>
      </c>
      <c r="Y123">
        <v>9040.01</v>
      </c>
      <c r="Z123">
        <v>0</v>
      </c>
      <c r="AA123">
        <v>0</v>
      </c>
      <c r="AB123">
        <v>0</v>
      </c>
      <c r="AC123">
        <v>1</v>
      </c>
      <c r="AD123">
        <v>0</v>
      </c>
      <c r="AE123">
        <v>0</v>
      </c>
      <c r="AF123" t="s">
        <v>3</v>
      </c>
      <c r="AG123">
        <v>0</v>
      </c>
      <c r="AH123">
        <v>2</v>
      </c>
      <c r="AI123">
        <v>94799200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ROW(Source!A113)</f>
        <v>113</v>
      </c>
      <c r="B124">
        <v>94799201</v>
      </c>
      <c r="C124">
        <v>94799180</v>
      </c>
      <c r="D124">
        <v>37736933</v>
      </c>
      <c r="E124">
        <v>1</v>
      </c>
      <c r="F124">
        <v>1</v>
      </c>
      <c r="G124">
        <v>1</v>
      </c>
      <c r="H124">
        <v>3</v>
      </c>
      <c r="I124" t="s">
        <v>851</v>
      </c>
      <c r="J124" t="s">
        <v>852</v>
      </c>
      <c r="K124" t="s">
        <v>853</v>
      </c>
      <c r="L124">
        <v>1348</v>
      </c>
      <c r="N124">
        <v>1009</v>
      </c>
      <c r="O124" t="s">
        <v>170</v>
      </c>
      <c r="P124" t="s">
        <v>170</v>
      </c>
      <c r="Q124">
        <v>1000</v>
      </c>
      <c r="X124">
        <v>1.0000000000000001E-5</v>
      </c>
      <c r="Y124">
        <v>12936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1.0000000000000001E-5</v>
      </c>
      <c r="AH124">
        <v>2</v>
      </c>
      <c r="AI124">
        <v>94799201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ROW(Source!A113)</f>
        <v>113</v>
      </c>
      <c r="B125">
        <v>94799202</v>
      </c>
      <c r="C125">
        <v>94799180</v>
      </c>
      <c r="D125">
        <v>37729662</v>
      </c>
      <c r="E125">
        <v>1</v>
      </c>
      <c r="F125">
        <v>1</v>
      </c>
      <c r="G125">
        <v>1</v>
      </c>
      <c r="H125">
        <v>3</v>
      </c>
      <c r="I125" t="s">
        <v>812</v>
      </c>
      <c r="J125" t="s">
        <v>813</v>
      </c>
      <c r="K125" t="s">
        <v>814</v>
      </c>
      <c r="L125">
        <v>1346</v>
      </c>
      <c r="N125">
        <v>1009</v>
      </c>
      <c r="O125" t="s">
        <v>192</v>
      </c>
      <c r="P125" t="s">
        <v>192</v>
      </c>
      <c r="Q125">
        <v>1</v>
      </c>
      <c r="X125">
        <v>0.59</v>
      </c>
      <c r="Y125">
        <v>6.62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0.59</v>
      </c>
      <c r="AH125">
        <v>2</v>
      </c>
      <c r="AI125">
        <v>94799202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ROW(Source!A113)</f>
        <v>113</v>
      </c>
      <c r="B126">
        <v>94799203</v>
      </c>
      <c r="C126">
        <v>94799180</v>
      </c>
      <c r="D126">
        <v>37732807</v>
      </c>
      <c r="E126">
        <v>1</v>
      </c>
      <c r="F126">
        <v>1</v>
      </c>
      <c r="G126">
        <v>1</v>
      </c>
      <c r="H126">
        <v>3</v>
      </c>
      <c r="I126" t="s">
        <v>854</v>
      </c>
      <c r="J126" t="s">
        <v>855</v>
      </c>
      <c r="K126" t="s">
        <v>856</v>
      </c>
      <c r="L126">
        <v>1348</v>
      </c>
      <c r="N126">
        <v>1009</v>
      </c>
      <c r="O126" t="s">
        <v>170</v>
      </c>
      <c r="P126" t="s">
        <v>170</v>
      </c>
      <c r="Q126">
        <v>1000</v>
      </c>
      <c r="X126">
        <v>5.9999999999999995E-4</v>
      </c>
      <c r="Y126">
        <v>9420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5.9999999999999995E-4</v>
      </c>
      <c r="AH126">
        <v>2</v>
      </c>
      <c r="AI126">
        <v>94799203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ROW(Source!A113)</f>
        <v>113</v>
      </c>
      <c r="B127">
        <v>94799204</v>
      </c>
      <c r="C127">
        <v>94799180</v>
      </c>
      <c r="D127">
        <v>37738047</v>
      </c>
      <c r="E127">
        <v>1</v>
      </c>
      <c r="F127">
        <v>1</v>
      </c>
      <c r="G127">
        <v>1</v>
      </c>
      <c r="H127">
        <v>3</v>
      </c>
      <c r="I127" t="s">
        <v>857</v>
      </c>
      <c r="J127" t="s">
        <v>858</v>
      </c>
      <c r="K127" t="s">
        <v>859</v>
      </c>
      <c r="L127">
        <v>1339</v>
      </c>
      <c r="N127">
        <v>1007</v>
      </c>
      <c r="O127" t="s">
        <v>52</v>
      </c>
      <c r="P127" t="s">
        <v>52</v>
      </c>
      <c r="Q127">
        <v>1</v>
      </c>
      <c r="X127">
        <v>1.0300000000000001E-3</v>
      </c>
      <c r="Y127">
        <v>1421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1.0300000000000001E-3</v>
      </c>
      <c r="AH127">
        <v>2</v>
      </c>
      <c r="AI127">
        <v>94799204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ROW(Source!A113)</f>
        <v>113</v>
      </c>
      <c r="B128">
        <v>94799205</v>
      </c>
      <c r="C128">
        <v>94799180</v>
      </c>
      <c r="D128">
        <v>37744698</v>
      </c>
      <c r="E128">
        <v>1</v>
      </c>
      <c r="F128">
        <v>1</v>
      </c>
      <c r="G128">
        <v>1</v>
      </c>
      <c r="H128">
        <v>3</v>
      </c>
      <c r="I128" t="s">
        <v>178</v>
      </c>
      <c r="J128" t="s">
        <v>180</v>
      </c>
      <c r="K128" t="s">
        <v>179</v>
      </c>
      <c r="L128">
        <v>1348</v>
      </c>
      <c r="N128">
        <v>1009</v>
      </c>
      <c r="O128" t="s">
        <v>170</v>
      </c>
      <c r="P128" t="s">
        <v>170</v>
      </c>
      <c r="Q128">
        <v>1000</v>
      </c>
      <c r="X128">
        <v>3.1E-4</v>
      </c>
      <c r="Y128">
        <v>15620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3.1E-4</v>
      </c>
      <c r="AH128">
        <v>2</v>
      </c>
      <c r="AI128">
        <v>94799205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ROW(Source!A113)</f>
        <v>113</v>
      </c>
      <c r="B129">
        <v>94799206</v>
      </c>
      <c r="C129">
        <v>94799180</v>
      </c>
      <c r="D129">
        <v>37751308</v>
      </c>
      <c r="E129">
        <v>1</v>
      </c>
      <c r="F129">
        <v>1</v>
      </c>
      <c r="G129">
        <v>1</v>
      </c>
      <c r="H129">
        <v>3</v>
      </c>
      <c r="I129" t="s">
        <v>860</v>
      </c>
      <c r="J129" t="s">
        <v>861</v>
      </c>
      <c r="K129" t="s">
        <v>862</v>
      </c>
      <c r="L129">
        <v>1348</v>
      </c>
      <c r="N129">
        <v>1009</v>
      </c>
      <c r="O129" t="s">
        <v>170</v>
      </c>
      <c r="P129" t="s">
        <v>170</v>
      </c>
      <c r="Q129">
        <v>1000</v>
      </c>
      <c r="X129">
        <v>2.5999999999999999E-2</v>
      </c>
      <c r="Y129">
        <v>7712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2.5999999999999999E-2</v>
      </c>
      <c r="AH129">
        <v>2</v>
      </c>
      <c r="AI129">
        <v>94799206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ROW(Source!A113)</f>
        <v>113</v>
      </c>
      <c r="B130">
        <v>94799207</v>
      </c>
      <c r="C130">
        <v>94799180</v>
      </c>
      <c r="D130">
        <v>37750153</v>
      </c>
      <c r="E130">
        <v>1</v>
      </c>
      <c r="F130">
        <v>1</v>
      </c>
      <c r="G130">
        <v>1</v>
      </c>
      <c r="H130">
        <v>3</v>
      </c>
      <c r="I130" t="s">
        <v>256</v>
      </c>
      <c r="J130" t="s">
        <v>258</v>
      </c>
      <c r="K130" t="s">
        <v>257</v>
      </c>
      <c r="L130">
        <v>1348</v>
      </c>
      <c r="N130">
        <v>1009</v>
      </c>
      <c r="O130" t="s">
        <v>170</v>
      </c>
      <c r="P130" t="s">
        <v>170</v>
      </c>
      <c r="Q130">
        <v>1000</v>
      </c>
      <c r="X130">
        <v>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 t="s">
        <v>3</v>
      </c>
      <c r="AG130">
        <v>1</v>
      </c>
      <c r="AH130">
        <v>2</v>
      </c>
      <c r="AI130">
        <v>94799207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ROW(Source!A113)</f>
        <v>113</v>
      </c>
      <c r="B131">
        <v>94799208</v>
      </c>
      <c r="C131">
        <v>94799180</v>
      </c>
      <c r="D131">
        <v>37790931</v>
      </c>
      <c r="E131">
        <v>1</v>
      </c>
      <c r="F131">
        <v>1</v>
      </c>
      <c r="G131">
        <v>1</v>
      </c>
      <c r="H131">
        <v>3</v>
      </c>
      <c r="I131" t="s">
        <v>863</v>
      </c>
      <c r="J131" t="s">
        <v>864</v>
      </c>
      <c r="K131" t="s">
        <v>865</v>
      </c>
      <c r="L131">
        <v>1302</v>
      </c>
      <c r="N131">
        <v>1003</v>
      </c>
      <c r="O131" t="s">
        <v>866</v>
      </c>
      <c r="P131" t="s">
        <v>866</v>
      </c>
      <c r="Q131">
        <v>10</v>
      </c>
      <c r="X131">
        <v>1.8700000000000001E-2</v>
      </c>
      <c r="Y131">
        <v>71.5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1.8700000000000001E-2</v>
      </c>
      <c r="AH131">
        <v>2</v>
      </c>
      <c r="AI131">
        <v>94799208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ROW(Source!A159)</f>
        <v>159</v>
      </c>
      <c r="B132">
        <v>94799471</v>
      </c>
      <c r="C132">
        <v>94799470</v>
      </c>
      <c r="D132">
        <v>23129805</v>
      </c>
      <c r="E132">
        <v>1</v>
      </c>
      <c r="F132">
        <v>1</v>
      </c>
      <c r="G132">
        <v>1</v>
      </c>
      <c r="H132">
        <v>1</v>
      </c>
      <c r="I132" t="s">
        <v>703</v>
      </c>
      <c r="J132" t="s">
        <v>3</v>
      </c>
      <c r="K132" t="s">
        <v>704</v>
      </c>
      <c r="L132">
        <v>1369</v>
      </c>
      <c r="N132">
        <v>1013</v>
      </c>
      <c r="O132" t="s">
        <v>696</v>
      </c>
      <c r="P132" t="s">
        <v>696</v>
      </c>
      <c r="Q132">
        <v>1</v>
      </c>
      <c r="X132">
        <v>77.39</v>
      </c>
      <c r="Y132">
        <v>0</v>
      </c>
      <c r="Z132">
        <v>0</v>
      </c>
      <c r="AA132">
        <v>0</v>
      </c>
      <c r="AB132">
        <v>7.97</v>
      </c>
      <c r="AC132">
        <v>0</v>
      </c>
      <c r="AD132">
        <v>1</v>
      </c>
      <c r="AE132">
        <v>1</v>
      </c>
      <c r="AF132" t="s">
        <v>3</v>
      </c>
      <c r="AG132">
        <v>77.39</v>
      </c>
      <c r="AH132">
        <v>2</v>
      </c>
      <c r="AI132">
        <v>94799471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ROW(Source!A159)</f>
        <v>159</v>
      </c>
      <c r="B133">
        <v>94799472</v>
      </c>
      <c r="C133">
        <v>94799470</v>
      </c>
      <c r="D133">
        <v>37802657</v>
      </c>
      <c r="E133">
        <v>1</v>
      </c>
      <c r="F133">
        <v>1</v>
      </c>
      <c r="G133">
        <v>1</v>
      </c>
      <c r="H133">
        <v>2</v>
      </c>
      <c r="I133" t="s">
        <v>794</v>
      </c>
      <c r="J133" t="s">
        <v>795</v>
      </c>
      <c r="K133" t="s">
        <v>796</v>
      </c>
      <c r="L133">
        <v>1368</v>
      </c>
      <c r="N133">
        <v>1011</v>
      </c>
      <c r="O133" t="s">
        <v>700</v>
      </c>
      <c r="P133" t="s">
        <v>700</v>
      </c>
      <c r="Q133">
        <v>1</v>
      </c>
      <c r="X133">
        <v>11.6</v>
      </c>
      <c r="Y133">
        <v>0</v>
      </c>
      <c r="Z133">
        <v>7.55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11.6</v>
      </c>
      <c r="AH133">
        <v>2</v>
      </c>
      <c r="AI133">
        <v>94799472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ROW(Source!A159)</f>
        <v>159</v>
      </c>
      <c r="B134">
        <v>94799473</v>
      </c>
      <c r="C134">
        <v>94799470</v>
      </c>
      <c r="D134">
        <v>37804456</v>
      </c>
      <c r="E134">
        <v>1</v>
      </c>
      <c r="F134">
        <v>1</v>
      </c>
      <c r="G134">
        <v>1</v>
      </c>
      <c r="H134">
        <v>2</v>
      </c>
      <c r="I134" t="s">
        <v>713</v>
      </c>
      <c r="J134" t="s">
        <v>714</v>
      </c>
      <c r="K134" t="s">
        <v>715</v>
      </c>
      <c r="L134">
        <v>1368</v>
      </c>
      <c r="N134">
        <v>1011</v>
      </c>
      <c r="O134" t="s">
        <v>700</v>
      </c>
      <c r="P134" t="s">
        <v>700</v>
      </c>
      <c r="Q134">
        <v>1</v>
      </c>
      <c r="X134">
        <v>0.34</v>
      </c>
      <c r="Y134">
        <v>0</v>
      </c>
      <c r="Z134">
        <v>91.76</v>
      </c>
      <c r="AA134">
        <v>10.35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0.34</v>
      </c>
      <c r="AH134">
        <v>2</v>
      </c>
      <c r="AI134">
        <v>94799473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ROW(Source!A159)</f>
        <v>159</v>
      </c>
      <c r="B135">
        <v>94799474</v>
      </c>
      <c r="C135">
        <v>94799470</v>
      </c>
      <c r="D135">
        <v>37736612</v>
      </c>
      <c r="E135">
        <v>1</v>
      </c>
      <c r="F135">
        <v>1</v>
      </c>
      <c r="G135">
        <v>1</v>
      </c>
      <c r="H135">
        <v>3</v>
      </c>
      <c r="I135" t="s">
        <v>736</v>
      </c>
      <c r="J135" t="s">
        <v>737</v>
      </c>
      <c r="K135" t="s">
        <v>738</v>
      </c>
      <c r="L135">
        <v>1348</v>
      </c>
      <c r="N135">
        <v>1009</v>
      </c>
      <c r="O135" t="s">
        <v>170</v>
      </c>
      <c r="P135" t="s">
        <v>170</v>
      </c>
      <c r="Q135">
        <v>1000</v>
      </c>
      <c r="X135">
        <v>0.02</v>
      </c>
      <c r="Y135">
        <v>9424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0.02</v>
      </c>
      <c r="AH135">
        <v>2</v>
      </c>
      <c r="AI135">
        <v>94799474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ROW(Source!A159)</f>
        <v>159</v>
      </c>
      <c r="B136">
        <v>94799475</v>
      </c>
      <c r="C136">
        <v>94799470</v>
      </c>
      <c r="D136">
        <v>37750135</v>
      </c>
      <c r="E136">
        <v>1</v>
      </c>
      <c r="F136">
        <v>1</v>
      </c>
      <c r="G136">
        <v>1</v>
      </c>
      <c r="H136">
        <v>3</v>
      </c>
      <c r="I136" t="s">
        <v>266</v>
      </c>
      <c r="J136" t="s">
        <v>268</v>
      </c>
      <c r="K136" t="s">
        <v>267</v>
      </c>
      <c r="L136">
        <v>1354</v>
      </c>
      <c r="N136">
        <v>1010</v>
      </c>
      <c r="O136" t="s">
        <v>47</v>
      </c>
      <c r="P136" t="s">
        <v>47</v>
      </c>
      <c r="Q136">
        <v>1</v>
      </c>
      <c r="X136">
        <v>100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 t="s">
        <v>3</v>
      </c>
      <c r="AG136">
        <v>100</v>
      </c>
      <c r="AH136">
        <v>2</v>
      </c>
      <c r="AI136">
        <v>94799475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ROW(Source!A247)</f>
        <v>247</v>
      </c>
      <c r="B137">
        <v>94799801</v>
      </c>
      <c r="C137">
        <v>94799800</v>
      </c>
      <c r="D137">
        <v>23129555</v>
      </c>
      <c r="E137">
        <v>1</v>
      </c>
      <c r="F137">
        <v>1</v>
      </c>
      <c r="G137">
        <v>1</v>
      </c>
      <c r="H137">
        <v>1</v>
      </c>
      <c r="I137" t="s">
        <v>701</v>
      </c>
      <c r="J137" t="s">
        <v>3</v>
      </c>
      <c r="K137" t="s">
        <v>702</v>
      </c>
      <c r="L137">
        <v>1369</v>
      </c>
      <c r="N137">
        <v>1013</v>
      </c>
      <c r="O137" t="s">
        <v>696</v>
      </c>
      <c r="P137" t="s">
        <v>696</v>
      </c>
      <c r="Q137">
        <v>1</v>
      </c>
      <c r="X137">
        <v>118</v>
      </c>
      <c r="Y137">
        <v>0</v>
      </c>
      <c r="Z137">
        <v>0</v>
      </c>
      <c r="AA137">
        <v>0</v>
      </c>
      <c r="AB137">
        <v>7.29</v>
      </c>
      <c r="AC137">
        <v>0</v>
      </c>
      <c r="AD137">
        <v>1</v>
      </c>
      <c r="AE137">
        <v>1</v>
      </c>
      <c r="AF137" t="s">
        <v>3</v>
      </c>
      <c r="AG137">
        <v>118</v>
      </c>
      <c r="AH137">
        <v>2</v>
      </c>
      <c r="AI137">
        <v>94799801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ROW(Source!A248)</f>
        <v>248</v>
      </c>
      <c r="B138">
        <v>94799803</v>
      </c>
      <c r="C138">
        <v>94799802</v>
      </c>
      <c r="D138">
        <v>23135960</v>
      </c>
      <c r="E138">
        <v>1</v>
      </c>
      <c r="F138">
        <v>1</v>
      </c>
      <c r="G138">
        <v>1</v>
      </c>
      <c r="H138">
        <v>1</v>
      </c>
      <c r="I138" t="s">
        <v>867</v>
      </c>
      <c r="J138" t="s">
        <v>3</v>
      </c>
      <c r="K138" t="s">
        <v>868</v>
      </c>
      <c r="L138">
        <v>1369</v>
      </c>
      <c r="N138">
        <v>1013</v>
      </c>
      <c r="O138" t="s">
        <v>696</v>
      </c>
      <c r="P138" t="s">
        <v>696</v>
      </c>
      <c r="Q138">
        <v>1</v>
      </c>
      <c r="X138">
        <v>53.56</v>
      </c>
      <c r="Y138">
        <v>0</v>
      </c>
      <c r="Z138">
        <v>0</v>
      </c>
      <c r="AA138">
        <v>0</v>
      </c>
      <c r="AB138">
        <v>7.01</v>
      </c>
      <c r="AC138">
        <v>0</v>
      </c>
      <c r="AD138">
        <v>1</v>
      </c>
      <c r="AE138">
        <v>1</v>
      </c>
      <c r="AF138" t="s">
        <v>3</v>
      </c>
      <c r="AG138">
        <v>53.56</v>
      </c>
      <c r="AH138">
        <v>2</v>
      </c>
      <c r="AI138">
        <v>94799803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ROW(Source!A249)</f>
        <v>249</v>
      </c>
      <c r="B139">
        <v>94799805</v>
      </c>
      <c r="C139">
        <v>94799804</v>
      </c>
      <c r="D139">
        <v>37804464</v>
      </c>
      <c r="E139">
        <v>1</v>
      </c>
      <c r="F139">
        <v>1</v>
      </c>
      <c r="G139">
        <v>1</v>
      </c>
      <c r="H139">
        <v>2</v>
      </c>
      <c r="I139" t="s">
        <v>869</v>
      </c>
      <c r="J139" t="s">
        <v>870</v>
      </c>
      <c r="K139" t="s">
        <v>871</v>
      </c>
      <c r="L139">
        <v>1368</v>
      </c>
      <c r="N139">
        <v>1011</v>
      </c>
      <c r="O139" t="s">
        <v>700</v>
      </c>
      <c r="P139" t="s">
        <v>700</v>
      </c>
      <c r="Q139">
        <v>1</v>
      </c>
      <c r="X139">
        <v>5.9499999999999997E-2</v>
      </c>
      <c r="Y139">
        <v>0</v>
      </c>
      <c r="Z139">
        <v>104.49</v>
      </c>
      <c r="AA139">
        <v>12.1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5.9499999999999997E-2</v>
      </c>
      <c r="AH139">
        <v>2</v>
      </c>
      <c r="AI139">
        <v>94799805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ROW(Source!A250)</f>
        <v>250</v>
      </c>
      <c r="B140">
        <v>94799807</v>
      </c>
      <c r="C140">
        <v>94799806</v>
      </c>
      <c r="D140">
        <v>23131038</v>
      </c>
      <c r="E140">
        <v>1</v>
      </c>
      <c r="F140">
        <v>1</v>
      </c>
      <c r="G140">
        <v>1</v>
      </c>
      <c r="H140">
        <v>1</v>
      </c>
      <c r="I140" t="s">
        <v>872</v>
      </c>
      <c r="J140" t="s">
        <v>3</v>
      </c>
      <c r="K140" t="s">
        <v>873</v>
      </c>
      <c r="L140">
        <v>1369</v>
      </c>
      <c r="N140">
        <v>1013</v>
      </c>
      <c r="O140" t="s">
        <v>696</v>
      </c>
      <c r="P140" t="s">
        <v>696</v>
      </c>
      <c r="Q140">
        <v>1</v>
      </c>
      <c r="X140">
        <v>15.72</v>
      </c>
      <c r="Y140">
        <v>0</v>
      </c>
      <c r="Z140">
        <v>0</v>
      </c>
      <c r="AA140">
        <v>0</v>
      </c>
      <c r="AB140">
        <v>7.49</v>
      </c>
      <c r="AC140">
        <v>0</v>
      </c>
      <c r="AD140">
        <v>1</v>
      </c>
      <c r="AE140">
        <v>1</v>
      </c>
      <c r="AF140" t="s">
        <v>3</v>
      </c>
      <c r="AG140">
        <v>15.72</v>
      </c>
      <c r="AH140">
        <v>2</v>
      </c>
      <c r="AI140">
        <v>94799807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ROW(Source!A250)</f>
        <v>250</v>
      </c>
      <c r="B141">
        <v>94799808</v>
      </c>
      <c r="C141">
        <v>94799806</v>
      </c>
      <c r="D141">
        <v>121548</v>
      </c>
      <c r="E141">
        <v>1</v>
      </c>
      <c r="F141">
        <v>1</v>
      </c>
      <c r="G141">
        <v>1</v>
      </c>
      <c r="H141">
        <v>1</v>
      </c>
      <c r="I141" t="s">
        <v>28</v>
      </c>
      <c r="J141" t="s">
        <v>3</v>
      </c>
      <c r="K141" t="s">
        <v>705</v>
      </c>
      <c r="L141">
        <v>608254</v>
      </c>
      <c r="N141">
        <v>1013</v>
      </c>
      <c r="O141" t="s">
        <v>706</v>
      </c>
      <c r="P141" t="s">
        <v>706</v>
      </c>
      <c r="Q141">
        <v>1</v>
      </c>
      <c r="X141">
        <v>14.81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2</v>
      </c>
      <c r="AF141" t="s">
        <v>3</v>
      </c>
      <c r="AG141">
        <v>14.81</v>
      </c>
      <c r="AH141">
        <v>2</v>
      </c>
      <c r="AI141">
        <v>94799808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ROW(Source!A250)</f>
        <v>250</v>
      </c>
      <c r="B142">
        <v>94799809</v>
      </c>
      <c r="C142">
        <v>94799806</v>
      </c>
      <c r="D142">
        <v>37802515</v>
      </c>
      <c r="E142">
        <v>1</v>
      </c>
      <c r="F142">
        <v>1</v>
      </c>
      <c r="G142">
        <v>1</v>
      </c>
      <c r="H142">
        <v>2</v>
      </c>
      <c r="I142" t="s">
        <v>774</v>
      </c>
      <c r="J142" t="s">
        <v>775</v>
      </c>
      <c r="K142" t="s">
        <v>776</v>
      </c>
      <c r="L142">
        <v>1368</v>
      </c>
      <c r="N142">
        <v>1011</v>
      </c>
      <c r="O142" t="s">
        <v>700</v>
      </c>
      <c r="P142" t="s">
        <v>700</v>
      </c>
      <c r="Q142">
        <v>1</v>
      </c>
      <c r="X142">
        <v>4.76</v>
      </c>
      <c r="Y142">
        <v>0</v>
      </c>
      <c r="Z142">
        <v>87.24</v>
      </c>
      <c r="AA142">
        <v>9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4.76</v>
      </c>
      <c r="AH142">
        <v>2</v>
      </c>
      <c r="AI142">
        <v>94799809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ROW(Source!A250)</f>
        <v>250</v>
      </c>
      <c r="B143">
        <v>94799810</v>
      </c>
      <c r="C143">
        <v>94799806</v>
      </c>
      <c r="D143">
        <v>37803022</v>
      </c>
      <c r="E143">
        <v>1</v>
      </c>
      <c r="F143">
        <v>1</v>
      </c>
      <c r="G143">
        <v>1</v>
      </c>
      <c r="H143">
        <v>2</v>
      </c>
      <c r="I143" t="s">
        <v>874</v>
      </c>
      <c r="J143" t="s">
        <v>875</v>
      </c>
      <c r="K143" t="s">
        <v>876</v>
      </c>
      <c r="L143">
        <v>1368</v>
      </c>
      <c r="N143">
        <v>1011</v>
      </c>
      <c r="O143" t="s">
        <v>700</v>
      </c>
      <c r="P143" t="s">
        <v>700</v>
      </c>
      <c r="Q143">
        <v>1</v>
      </c>
      <c r="X143">
        <v>1.93</v>
      </c>
      <c r="Y143">
        <v>0</v>
      </c>
      <c r="Z143">
        <v>155.09</v>
      </c>
      <c r="AA143">
        <v>12.1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1.93</v>
      </c>
      <c r="AH143">
        <v>2</v>
      </c>
      <c r="AI143">
        <v>94799810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ROW(Source!A250)</f>
        <v>250</v>
      </c>
      <c r="B144">
        <v>94799811</v>
      </c>
      <c r="C144">
        <v>94799806</v>
      </c>
      <c r="D144">
        <v>37803059</v>
      </c>
      <c r="E144">
        <v>1</v>
      </c>
      <c r="F144">
        <v>1</v>
      </c>
      <c r="G144">
        <v>1</v>
      </c>
      <c r="H144">
        <v>2</v>
      </c>
      <c r="I144" t="s">
        <v>877</v>
      </c>
      <c r="J144" t="s">
        <v>878</v>
      </c>
      <c r="K144" t="s">
        <v>879</v>
      </c>
      <c r="L144">
        <v>1368</v>
      </c>
      <c r="N144">
        <v>1011</v>
      </c>
      <c r="O144" t="s">
        <v>700</v>
      </c>
      <c r="P144" t="s">
        <v>700</v>
      </c>
      <c r="Q144">
        <v>1</v>
      </c>
      <c r="X144">
        <v>7.08</v>
      </c>
      <c r="Y144">
        <v>0</v>
      </c>
      <c r="Z144">
        <v>210.32</v>
      </c>
      <c r="AA144">
        <v>12.9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7.08</v>
      </c>
      <c r="AH144">
        <v>2</v>
      </c>
      <c r="AI144">
        <v>94799811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ROW(Source!A250)</f>
        <v>250</v>
      </c>
      <c r="B145">
        <v>94799812</v>
      </c>
      <c r="C145">
        <v>94799806</v>
      </c>
      <c r="D145">
        <v>37803111</v>
      </c>
      <c r="E145">
        <v>1</v>
      </c>
      <c r="F145">
        <v>1</v>
      </c>
      <c r="G145">
        <v>1</v>
      </c>
      <c r="H145">
        <v>2</v>
      </c>
      <c r="I145" t="s">
        <v>880</v>
      </c>
      <c r="J145" t="s">
        <v>881</v>
      </c>
      <c r="K145" t="s">
        <v>882</v>
      </c>
      <c r="L145">
        <v>1368</v>
      </c>
      <c r="N145">
        <v>1011</v>
      </c>
      <c r="O145" t="s">
        <v>700</v>
      </c>
      <c r="P145" t="s">
        <v>700</v>
      </c>
      <c r="Q145">
        <v>1</v>
      </c>
      <c r="X145">
        <v>1.04</v>
      </c>
      <c r="Y145">
        <v>0</v>
      </c>
      <c r="Z145">
        <v>119.25</v>
      </c>
      <c r="AA145">
        <v>10.35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1.04</v>
      </c>
      <c r="AH145">
        <v>2</v>
      </c>
      <c r="AI145">
        <v>94799812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ROW(Source!A250)</f>
        <v>250</v>
      </c>
      <c r="B146">
        <v>94799813</v>
      </c>
      <c r="C146">
        <v>94799806</v>
      </c>
      <c r="D146">
        <v>37777457</v>
      </c>
      <c r="E146">
        <v>1</v>
      </c>
      <c r="F146">
        <v>1</v>
      </c>
      <c r="G146">
        <v>1</v>
      </c>
      <c r="H146">
        <v>3</v>
      </c>
      <c r="I146" t="s">
        <v>319</v>
      </c>
      <c r="J146" t="s">
        <v>321</v>
      </c>
      <c r="K146" t="s">
        <v>320</v>
      </c>
      <c r="L146">
        <v>1339</v>
      </c>
      <c r="N146">
        <v>1007</v>
      </c>
      <c r="O146" t="s">
        <v>52</v>
      </c>
      <c r="P146" t="s">
        <v>52</v>
      </c>
      <c r="Q146">
        <v>1</v>
      </c>
      <c r="X146">
        <v>0</v>
      </c>
      <c r="Y146">
        <v>144</v>
      </c>
      <c r="Z146">
        <v>0</v>
      </c>
      <c r="AA146">
        <v>0</v>
      </c>
      <c r="AB146">
        <v>0</v>
      </c>
      <c r="AC146">
        <v>1</v>
      </c>
      <c r="AD146">
        <v>0</v>
      </c>
      <c r="AE146">
        <v>0</v>
      </c>
      <c r="AF146" t="s">
        <v>3</v>
      </c>
      <c r="AG146">
        <v>0</v>
      </c>
      <c r="AH146">
        <v>2</v>
      </c>
      <c r="AI146">
        <v>94799813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ROW(Source!A250)</f>
        <v>250</v>
      </c>
      <c r="B147">
        <v>94799814</v>
      </c>
      <c r="C147">
        <v>94799806</v>
      </c>
      <c r="D147">
        <v>37777802</v>
      </c>
      <c r="E147">
        <v>1</v>
      </c>
      <c r="F147">
        <v>1</v>
      </c>
      <c r="G147">
        <v>1</v>
      </c>
      <c r="H147">
        <v>3</v>
      </c>
      <c r="I147" t="s">
        <v>883</v>
      </c>
      <c r="J147" t="s">
        <v>884</v>
      </c>
      <c r="K147" t="s">
        <v>885</v>
      </c>
      <c r="L147">
        <v>1339</v>
      </c>
      <c r="N147">
        <v>1007</v>
      </c>
      <c r="O147" t="s">
        <v>52</v>
      </c>
      <c r="P147" t="s">
        <v>52</v>
      </c>
      <c r="Q147">
        <v>1</v>
      </c>
      <c r="X147">
        <v>7</v>
      </c>
      <c r="Y147">
        <v>2.4700000000000002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7</v>
      </c>
      <c r="AH147">
        <v>2</v>
      </c>
      <c r="AI147">
        <v>94799814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ROW(Source!A253)</f>
        <v>253</v>
      </c>
      <c r="B148">
        <v>94799818</v>
      </c>
      <c r="C148">
        <v>94799817</v>
      </c>
      <c r="D148">
        <v>23129555</v>
      </c>
      <c r="E148">
        <v>1</v>
      </c>
      <c r="F148">
        <v>1</v>
      </c>
      <c r="G148">
        <v>1</v>
      </c>
      <c r="H148">
        <v>1</v>
      </c>
      <c r="I148" t="s">
        <v>701</v>
      </c>
      <c r="J148" t="s">
        <v>3</v>
      </c>
      <c r="K148" t="s">
        <v>702</v>
      </c>
      <c r="L148">
        <v>1369</v>
      </c>
      <c r="N148">
        <v>1013</v>
      </c>
      <c r="O148" t="s">
        <v>696</v>
      </c>
      <c r="P148" t="s">
        <v>696</v>
      </c>
      <c r="Q148">
        <v>1</v>
      </c>
      <c r="X148">
        <v>180</v>
      </c>
      <c r="Y148">
        <v>0</v>
      </c>
      <c r="Z148">
        <v>0</v>
      </c>
      <c r="AA148">
        <v>0</v>
      </c>
      <c r="AB148">
        <v>7.29</v>
      </c>
      <c r="AC148">
        <v>0</v>
      </c>
      <c r="AD148">
        <v>1</v>
      </c>
      <c r="AE148">
        <v>1</v>
      </c>
      <c r="AF148" t="s">
        <v>3</v>
      </c>
      <c r="AG148">
        <v>180</v>
      </c>
      <c r="AH148">
        <v>2</v>
      </c>
      <c r="AI148">
        <v>94799818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ROW(Source!A253)</f>
        <v>253</v>
      </c>
      <c r="B149">
        <v>94799819</v>
      </c>
      <c r="C149">
        <v>94799817</v>
      </c>
      <c r="D149">
        <v>121548</v>
      </c>
      <c r="E149">
        <v>1</v>
      </c>
      <c r="F149">
        <v>1</v>
      </c>
      <c r="G149">
        <v>1</v>
      </c>
      <c r="H149">
        <v>1</v>
      </c>
      <c r="I149" t="s">
        <v>28</v>
      </c>
      <c r="J149" t="s">
        <v>3</v>
      </c>
      <c r="K149" t="s">
        <v>705</v>
      </c>
      <c r="L149">
        <v>608254</v>
      </c>
      <c r="N149">
        <v>1013</v>
      </c>
      <c r="O149" t="s">
        <v>706</v>
      </c>
      <c r="P149" t="s">
        <v>706</v>
      </c>
      <c r="Q149">
        <v>1</v>
      </c>
      <c r="X149">
        <v>18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2</v>
      </c>
      <c r="AF149" t="s">
        <v>3</v>
      </c>
      <c r="AG149">
        <v>18</v>
      </c>
      <c r="AH149">
        <v>2</v>
      </c>
      <c r="AI149">
        <v>94799819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ROW(Source!A253)</f>
        <v>253</v>
      </c>
      <c r="B150">
        <v>94799820</v>
      </c>
      <c r="C150">
        <v>94799817</v>
      </c>
      <c r="D150">
        <v>37802359</v>
      </c>
      <c r="E150">
        <v>1</v>
      </c>
      <c r="F150">
        <v>1</v>
      </c>
      <c r="G150">
        <v>1</v>
      </c>
      <c r="H150">
        <v>2</v>
      </c>
      <c r="I150" t="s">
        <v>886</v>
      </c>
      <c r="J150" t="s">
        <v>887</v>
      </c>
      <c r="K150" t="s">
        <v>888</v>
      </c>
      <c r="L150">
        <v>1368</v>
      </c>
      <c r="N150">
        <v>1011</v>
      </c>
      <c r="O150" t="s">
        <v>700</v>
      </c>
      <c r="P150" t="s">
        <v>700</v>
      </c>
      <c r="Q150">
        <v>1</v>
      </c>
      <c r="X150">
        <v>18</v>
      </c>
      <c r="Y150">
        <v>0</v>
      </c>
      <c r="Z150">
        <v>103.49</v>
      </c>
      <c r="AA150">
        <v>12.1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18</v>
      </c>
      <c r="AH150">
        <v>2</v>
      </c>
      <c r="AI150">
        <v>94799820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ROW(Source!A253)</f>
        <v>253</v>
      </c>
      <c r="B151">
        <v>94799821</v>
      </c>
      <c r="C151">
        <v>94799817</v>
      </c>
      <c r="D151">
        <v>37803001</v>
      </c>
      <c r="E151">
        <v>1</v>
      </c>
      <c r="F151">
        <v>1</v>
      </c>
      <c r="G151">
        <v>1</v>
      </c>
      <c r="H151">
        <v>2</v>
      </c>
      <c r="I151" t="s">
        <v>889</v>
      </c>
      <c r="J151" t="s">
        <v>890</v>
      </c>
      <c r="K151" t="s">
        <v>891</v>
      </c>
      <c r="L151">
        <v>1368</v>
      </c>
      <c r="N151">
        <v>1011</v>
      </c>
      <c r="O151" t="s">
        <v>700</v>
      </c>
      <c r="P151" t="s">
        <v>700</v>
      </c>
      <c r="Q151">
        <v>1</v>
      </c>
      <c r="X151">
        <v>48</v>
      </c>
      <c r="Y151">
        <v>0</v>
      </c>
      <c r="Z151">
        <v>0.66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48</v>
      </c>
      <c r="AH151">
        <v>2</v>
      </c>
      <c r="AI151">
        <v>94799821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ROW(Source!A253)</f>
        <v>253</v>
      </c>
      <c r="B152">
        <v>94799822</v>
      </c>
      <c r="C152">
        <v>94799817</v>
      </c>
      <c r="D152">
        <v>37804456</v>
      </c>
      <c r="E152">
        <v>1</v>
      </c>
      <c r="F152">
        <v>1</v>
      </c>
      <c r="G152">
        <v>1</v>
      </c>
      <c r="H152">
        <v>2</v>
      </c>
      <c r="I152" t="s">
        <v>713</v>
      </c>
      <c r="J152" t="s">
        <v>714</v>
      </c>
      <c r="K152" t="s">
        <v>715</v>
      </c>
      <c r="L152">
        <v>1368</v>
      </c>
      <c r="N152">
        <v>1011</v>
      </c>
      <c r="O152" t="s">
        <v>700</v>
      </c>
      <c r="P152" t="s">
        <v>700</v>
      </c>
      <c r="Q152">
        <v>1</v>
      </c>
      <c r="X152">
        <v>0.13</v>
      </c>
      <c r="Y152">
        <v>0</v>
      </c>
      <c r="Z152">
        <v>91.76</v>
      </c>
      <c r="AA152">
        <v>10.35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0.13</v>
      </c>
      <c r="AH152">
        <v>2</v>
      </c>
      <c r="AI152">
        <v>94799822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ROW(Source!A253)</f>
        <v>253</v>
      </c>
      <c r="B153">
        <v>94799823</v>
      </c>
      <c r="C153">
        <v>94799817</v>
      </c>
      <c r="D153">
        <v>37730282</v>
      </c>
      <c r="E153">
        <v>1</v>
      </c>
      <c r="F153">
        <v>1</v>
      </c>
      <c r="G153">
        <v>1</v>
      </c>
      <c r="H153">
        <v>3</v>
      </c>
      <c r="I153" t="s">
        <v>892</v>
      </c>
      <c r="J153" t="s">
        <v>893</v>
      </c>
      <c r="K153" t="s">
        <v>894</v>
      </c>
      <c r="L153">
        <v>1327</v>
      </c>
      <c r="N153">
        <v>1005</v>
      </c>
      <c r="O153" t="s">
        <v>201</v>
      </c>
      <c r="P153" t="s">
        <v>201</v>
      </c>
      <c r="Q153">
        <v>1</v>
      </c>
      <c r="X153">
        <v>250</v>
      </c>
      <c r="Y153">
        <v>10.199999999999999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250</v>
      </c>
      <c r="AH153">
        <v>2</v>
      </c>
      <c r="AI153">
        <v>94799823</v>
      </c>
      <c r="AJ153">
        <v>153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ROW(Source!A253)</f>
        <v>253</v>
      </c>
      <c r="B154">
        <v>94799824</v>
      </c>
      <c r="C154">
        <v>94799817</v>
      </c>
      <c r="D154">
        <v>37767859</v>
      </c>
      <c r="E154">
        <v>1</v>
      </c>
      <c r="F154">
        <v>1</v>
      </c>
      <c r="G154">
        <v>1</v>
      </c>
      <c r="H154">
        <v>3</v>
      </c>
      <c r="I154" t="s">
        <v>336</v>
      </c>
      <c r="J154" t="s">
        <v>338</v>
      </c>
      <c r="K154" t="s">
        <v>337</v>
      </c>
      <c r="L154">
        <v>1339</v>
      </c>
      <c r="N154">
        <v>1007</v>
      </c>
      <c r="O154" t="s">
        <v>52</v>
      </c>
      <c r="P154" t="s">
        <v>52</v>
      </c>
      <c r="Q154">
        <v>1</v>
      </c>
      <c r="X154">
        <v>102</v>
      </c>
      <c r="Y154">
        <v>512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102</v>
      </c>
      <c r="AH154">
        <v>2</v>
      </c>
      <c r="AI154">
        <v>94799824</v>
      </c>
      <c r="AJ154">
        <v>154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ROW(Source!A253)</f>
        <v>253</v>
      </c>
      <c r="B155">
        <v>94799825</v>
      </c>
      <c r="C155">
        <v>94799817</v>
      </c>
      <c r="D155">
        <v>37777802</v>
      </c>
      <c r="E155">
        <v>1</v>
      </c>
      <c r="F155">
        <v>1</v>
      </c>
      <c r="G155">
        <v>1</v>
      </c>
      <c r="H155">
        <v>3</v>
      </c>
      <c r="I155" t="s">
        <v>883</v>
      </c>
      <c r="J155" t="s">
        <v>884</v>
      </c>
      <c r="K155" t="s">
        <v>885</v>
      </c>
      <c r="L155">
        <v>1339</v>
      </c>
      <c r="N155">
        <v>1007</v>
      </c>
      <c r="O155" t="s">
        <v>52</v>
      </c>
      <c r="P155" t="s">
        <v>52</v>
      </c>
      <c r="Q155">
        <v>1</v>
      </c>
      <c r="X155">
        <v>0.2</v>
      </c>
      <c r="Y155">
        <v>2.4700000000000002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0.2</v>
      </c>
      <c r="AH155">
        <v>2</v>
      </c>
      <c r="AI155">
        <v>94799825</v>
      </c>
      <c r="AJ155">
        <v>155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ROW(Source!A256)</f>
        <v>256</v>
      </c>
      <c r="B156">
        <v>94799829</v>
      </c>
      <c r="C156">
        <v>94799828</v>
      </c>
      <c r="D156">
        <v>23129536</v>
      </c>
      <c r="E156">
        <v>1</v>
      </c>
      <c r="F156">
        <v>1</v>
      </c>
      <c r="G156">
        <v>1</v>
      </c>
      <c r="H156">
        <v>1</v>
      </c>
      <c r="I156" t="s">
        <v>895</v>
      </c>
      <c r="J156" t="s">
        <v>3</v>
      </c>
      <c r="K156" t="s">
        <v>896</v>
      </c>
      <c r="L156">
        <v>1369</v>
      </c>
      <c r="N156">
        <v>1013</v>
      </c>
      <c r="O156" t="s">
        <v>696</v>
      </c>
      <c r="P156" t="s">
        <v>696</v>
      </c>
      <c r="Q156">
        <v>1</v>
      </c>
      <c r="X156">
        <v>12.64</v>
      </c>
      <c r="Y156">
        <v>0</v>
      </c>
      <c r="Z156">
        <v>0</v>
      </c>
      <c r="AA156">
        <v>0</v>
      </c>
      <c r="AB156">
        <v>8.2799999999999994</v>
      </c>
      <c r="AC156">
        <v>0</v>
      </c>
      <c r="AD156">
        <v>1</v>
      </c>
      <c r="AE156">
        <v>1</v>
      </c>
      <c r="AF156" t="s">
        <v>3</v>
      </c>
      <c r="AG156">
        <v>12.64</v>
      </c>
      <c r="AH156">
        <v>2</v>
      </c>
      <c r="AI156">
        <v>94799829</v>
      </c>
      <c r="AJ156">
        <v>156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ROW(Source!A256)</f>
        <v>256</v>
      </c>
      <c r="B157">
        <v>94799830</v>
      </c>
      <c r="C157">
        <v>94799828</v>
      </c>
      <c r="D157">
        <v>121548</v>
      </c>
      <c r="E157">
        <v>1</v>
      </c>
      <c r="F157">
        <v>1</v>
      </c>
      <c r="G157">
        <v>1</v>
      </c>
      <c r="H157">
        <v>1</v>
      </c>
      <c r="I157" t="s">
        <v>28</v>
      </c>
      <c r="J157" t="s">
        <v>3</v>
      </c>
      <c r="K157" t="s">
        <v>705</v>
      </c>
      <c r="L157">
        <v>608254</v>
      </c>
      <c r="N157">
        <v>1013</v>
      </c>
      <c r="O157" t="s">
        <v>706</v>
      </c>
      <c r="P157" t="s">
        <v>706</v>
      </c>
      <c r="Q157">
        <v>1</v>
      </c>
      <c r="X157">
        <v>0.16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2</v>
      </c>
      <c r="AF157" t="s">
        <v>3</v>
      </c>
      <c r="AG157">
        <v>0.16</v>
      </c>
      <c r="AH157">
        <v>2</v>
      </c>
      <c r="AI157">
        <v>94799830</v>
      </c>
      <c r="AJ157">
        <v>157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ROW(Source!A256)</f>
        <v>256</v>
      </c>
      <c r="B158">
        <v>94799831</v>
      </c>
      <c r="C158">
        <v>94799828</v>
      </c>
      <c r="D158">
        <v>37802443</v>
      </c>
      <c r="E158">
        <v>1</v>
      </c>
      <c r="F158">
        <v>1</v>
      </c>
      <c r="G158">
        <v>1</v>
      </c>
      <c r="H158">
        <v>2</v>
      </c>
      <c r="I158" t="s">
        <v>721</v>
      </c>
      <c r="J158" t="s">
        <v>722</v>
      </c>
      <c r="K158" t="s">
        <v>723</v>
      </c>
      <c r="L158">
        <v>1368</v>
      </c>
      <c r="N158">
        <v>1011</v>
      </c>
      <c r="O158" t="s">
        <v>700</v>
      </c>
      <c r="P158" t="s">
        <v>700</v>
      </c>
      <c r="Q158">
        <v>1</v>
      </c>
      <c r="X158">
        <v>0.16</v>
      </c>
      <c r="Y158">
        <v>0</v>
      </c>
      <c r="Z158">
        <v>124.14</v>
      </c>
      <c r="AA158">
        <v>12.1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0.16</v>
      </c>
      <c r="AH158">
        <v>2</v>
      </c>
      <c r="AI158">
        <v>94799831</v>
      </c>
      <c r="AJ158">
        <v>158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ROW(Source!A256)</f>
        <v>256</v>
      </c>
      <c r="B159">
        <v>94799832</v>
      </c>
      <c r="C159">
        <v>94799828</v>
      </c>
      <c r="D159">
        <v>37804456</v>
      </c>
      <c r="E159">
        <v>1</v>
      </c>
      <c r="F159">
        <v>1</v>
      </c>
      <c r="G159">
        <v>1</v>
      </c>
      <c r="H159">
        <v>2</v>
      </c>
      <c r="I159" t="s">
        <v>713</v>
      </c>
      <c r="J159" t="s">
        <v>714</v>
      </c>
      <c r="K159" t="s">
        <v>715</v>
      </c>
      <c r="L159">
        <v>1368</v>
      </c>
      <c r="N159">
        <v>1011</v>
      </c>
      <c r="O159" t="s">
        <v>700</v>
      </c>
      <c r="P159" t="s">
        <v>700</v>
      </c>
      <c r="Q159">
        <v>1</v>
      </c>
      <c r="X159">
        <v>0.22</v>
      </c>
      <c r="Y159">
        <v>0</v>
      </c>
      <c r="Z159">
        <v>91.76</v>
      </c>
      <c r="AA159">
        <v>10.35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0.22</v>
      </c>
      <c r="AH159">
        <v>2</v>
      </c>
      <c r="AI159">
        <v>94799832</v>
      </c>
      <c r="AJ159">
        <v>159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ROW(Source!A256)</f>
        <v>256</v>
      </c>
      <c r="B160">
        <v>94799833</v>
      </c>
      <c r="C160">
        <v>94799828</v>
      </c>
      <c r="D160">
        <v>37736279</v>
      </c>
      <c r="E160">
        <v>1</v>
      </c>
      <c r="F160">
        <v>1</v>
      </c>
      <c r="G160">
        <v>1</v>
      </c>
      <c r="H160">
        <v>3</v>
      </c>
      <c r="I160" t="s">
        <v>730</v>
      </c>
      <c r="J160" t="s">
        <v>731</v>
      </c>
      <c r="K160" t="s">
        <v>732</v>
      </c>
      <c r="L160">
        <v>1348</v>
      </c>
      <c r="N160">
        <v>1009</v>
      </c>
      <c r="O160" t="s">
        <v>170</v>
      </c>
      <c r="P160" t="s">
        <v>170</v>
      </c>
      <c r="Q160">
        <v>1000</v>
      </c>
      <c r="X160">
        <v>2.8000000000000001E-2</v>
      </c>
      <c r="Y160">
        <v>10200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2.8000000000000001E-2</v>
      </c>
      <c r="AH160">
        <v>2</v>
      </c>
      <c r="AI160">
        <v>94799833</v>
      </c>
      <c r="AJ160">
        <v>160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ROW(Source!A256)</f>
        <v>256</v>
      </c>
      <c r="B161">
        <v>94799834</v>
      </c>
      <c r="C161">
        <v>94799828</v>
      </c>
      <c r="D161">
        <v>37753208</v>
      </c>
      <c r="E161">
        <v>1</v>
      </c>
      <c r="F161">
        <v>1</v>
      </c>
      <c r="G161">
        <v>1</v>
      </c>
      <c r="H161">
        <v>3</v>
      </c>
      <c r="I161" t="s">
        <v>897</v>
      </c>
      <c r="J161" t="s">
        <v>898</v>
      </c>
      <c r="K161" t="s">
        <v>899</v>
      </c>
      <c r="L161">
        <v>1348</v>
      </c>
      <c r="N161">
        <v>1009</v>
      </c>
      <c r="O161" t="s">
        <v>170</v>
      </c>
      <c r="P161" t="s">
        <v>170</v>
      </c>
      <c r="Q161">
        <v>1000</v>
      </c>
      <c r="X161">
        <v>1</v>
      </c>
      <c r="Y161">
        <v>5734.75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1</v>
      </c>
      <c r="AH161">
        <v>2</v>
      </c>
      <c r="AI161">
        <v>94799834</v>
      </c>
      <c r="AJ161">
        <v>161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ROW(Source!A257)</f>
        <v>257</v>
      </c>
      <c r="B162">
        <v>94799836</v>
      </c>
      <c r="C162">
        <v>94799835</v>
      </c>
      <c r="D162">
        <v>23129805</v>
      </c>
      <c r="E162">
        <v>1</v>
      </c>
      <c r="F162">
        <v>1</v>
      </c>
      <c r="G162">
        <v>1</v>
      </c>
      <c r="H162">
        <v>1</v>
      </c>
      <c r="I162" t="s">
        <v>703</v>
      </c>
      <c r="J162" t="s">
        <v>3</v>
      </c>
      <c r="K162" t="s">
        <v>704</v>
      </c>
      <c r="L162">
        <v>1369</v>
      </c>
      <c r="N162">
        <v>1013</v>
      </c>
      <c r="O162" t="s">
        <v>696</v>
      </c>
      <c r="P162" t="s">
        <v>696</v>
      </c>
      <c r="Q162">
        <v>1</v>
      </c>
      <c r="X162">
        <v>44.05</v>
      </c>
      <c r="Y162">
        <v>0</v>
      </c>
      <c r="Z162">
        <v>0</v>
      </c>
      <c r="AA162">
        <v>0</v>
      </c>
      <c r="AB162">
        <v>7.97</v>
      </c>
      <c r="AC162">
        <v>0</v>
      </c>
      <c r="AD162">
        <v>1</v>
      </c>
      <c r="AE162">
        <v>1</v>
      </c>
      <c r="AF162" t="s">
        <v>3</v>
      </c>
      <c r="AG162">
        <v>44.05</v>
      </c>
      <c r="AH162">
        <v>2</v>
      </c>
      <c r="AI162">
        <v>94799836</v>
      </c>
      <c r="AJ162">
        <v>162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ROW(Source!A257)</f>
        <v>257</v>
      </c>
      <c r="B163">
        <v>94799837</v>
      </c>
      <c r="C163">
        <v>94799835</v>
      </c>
      <c r="D163">
        <v>121548</v>
      </c>
      <c r="E163">
        <v>1</v>
      </c>
      <c r="F163">
        <v>1</v>
      </c>
      <c r="G163">
        <v>1</v>
      </c>
      <c r="H163">
        <v>1</v>
      </c>
      <c r="I163" t="s">
        <v>28</v>
      </c>
      <c r="J163" t="s">
        <v>3</v>
      </c>
      <c r="K163" t="s">
        <v>705</v>
      </c>
      <c r="L163">
        <v>608254</v>
      </c>
      <c r="N163">
        <v>1013</v>
      </c>
      <c r="O163" t="s">
        <v>706</v>
      </c>
      <c r="P163" t="s">
        <v>706</v>
      </c>
      <c r="Q163">
        <v>1</v>
      </c>
      <c r="X163">
        <v>28.2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2</v>
      </c>
      <c r="AF163" t="s">
        <v>3</v>
      </c>
      <c r="AG163">
        <v>28.2</v>
      </c>
      <c r="AH163">
        <v>2</v>
      </c>
      <c r="AI163">
        <v>94799837</v>
      </c>
      <c r="AJ163">
        <v>163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ROW(Source!A257)</f>
        <v>257</v>
      </c>
      <c r="B164">
        <v>94799838</v>
      </c>
      <c r="C164">
        <v>94799835</v>
      </c>
      <c r="D164">
        <v>37802634</v>
      </c>
      <c r="E164">
        <v>1</v>
      </c>
      <c r="F164">
        <v>1</v>
      </c>
      <c r="G164">
        <v>1</v>
      </c>
      <c r="H164">
        <v>2</v>
      </c>
      <c r="I164" t="s">
        <v>900</v>
      </c>
      <c r="J164" t="s">
        <v>901</v>
      </c>
      <c r="K164" t="s">
        <v>902</v>
      </c>
      <c r="L164">
        <v>1368</v>
      </c>
      <c r="N164">
        <v>1011</v>
      </c>
      <c r="O164" t="s">
        <v>700</v>
      </c>
      <c r="P164" t="s">
        <v>700</v>
      </c>
      <c r="Q164">
        <v>1</v>
      </c>
      <c r="X164">
        <v>28.2</v>
      </c>
      <c r="Y164">
        <v>0</v>
      </c>
      <c r="Z164">
        <v>21.2</v>
      </c>
      <c r="AA164">
        <v>10.35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28.2</v>
      </c>
      <c r="AH164">
        <v>2</v>
      </c>
      <c r="AI164">
        <v>94799838</v>
      </c>
      <c r="AJ164">
        <v>164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ROW(Source!A257)</f>
        <v>257</v>
      </c>
      <c r="B165">
        <v>94799839</v>
      </c>
      <c r="C165">
        <v>94799835</v>
      </c>
      <c r="D165">
        <v>37804139</v>
      </c>
      <c r="E165">
        <v>1</v>
      </c>
      <c r="F165">
        <v>1</v>
      </c>
      <c r="G165">
        <v>1</v>
      </c>
      <c r="H165">
        <v>2</v>
      </c>
      <c r="I165" t="s">
        <v>903</v>
      </c>
      <c r="J165" t="s">
        <v>904</v>
      </c>
      <c r="K165" t="s">
        <v>905</v>
      </c>
      <c r="L165">
        <v>1368</v>
      </c>
      <c r="N165">
        <v>1011</v>
      </c>
      <c r="O165" t="s">
        <v>700</v>
      </c>
      <c r="P165" t="s">
        <v>700</v>
      </c>
      <c r="Q165">
        <v>1</v>
      </c>
      <c r="X165">
        <v>15.83</v>
      </c>
      <c r="Y165">
        <v>0</v>
      </c>
      <c r="Z165">
        <v>28.88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3</v>
      </c>
      <c r="AG165">
        <v>15.83</v>
      </c>
      <c r="AH165">
        <v>2</v>
      </c>
      <c r="AI165">
        <v>94799839</v>
      </c>
      <c r="AJ165">
        <v>165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ROW(Source!A257)</f>
        <v>257</v>
      </c>
      <c r="B166">
        <v>94799840</v>
      </c>
      <c r="C166">
        <v>94799835</v>
      </c>
      <c r="D166">
        <v>37804227</v>
      </c>
      <c r="E166">
        <v>1</v>
      </c>
      <c r="F166">
        <v>1</v>
      </c>
      <c r="G166">
        <v>1</v>
      </c>
      <c r="H166">
        <v>2</v>
      </c>
      <c r="I166" t="s">
        <v>906</v>
      </c>
      <c r="J166" t="s">
        <v>907</v>
      </c>
      <c r="K166" t="s">
        <v>908</v>
      </c>
      <c r="L166">
        <v>1368</v>
      </c>
      <c r="N166">
        <v>1011</v>
      </c>
      <c r="O166" t="s">
        <v>700</v>
      </c>
      <c r="P166" t="s">
        <v>700</v>
      </c>
      <c r="Q166">
        <v>1</v>
      </c>
      <c r="X166">
        <v>12.4</v>
      </c>
      <c r="Y166">
        <v>0</v>
      </c>
      <c r="Z166">
        <v>1.1000000000000001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12.4</v>
      </c>
      <c r="AH166">
        <v>2</v>
      </c>
      <c r="AI166">
        <v>94799840</v>
      </c>
      <c r="AJ166">
        <v>166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ROW(Source!A257)</f>
        <v>257</v>
      </c>
      <c r="B167">
        <v>94799841</v>
      </c>
      <c r="C167">
        <v>94799835</v>
      </c>
      <c r="D167">
        <v>37804456</v>
      </c>
      <c r="E167">
        <v>1</v>
      </c>
      <c r="F167">
        <v>1</v>
      </c>
      <c r="G167">
        <v>1</v>
      </c>
      <c r="H167">
        <v>2</v>
      </c>
      <c r="I167" t="s">
        <v>713</v>
      </c>
      <c r="J167" t="s">
        <v>714</v>
      </c>
      <c r="K167" t="s">
        <v>715</v>
      </c>
      <c r="L167">
        <v>1368</v>
      </c>
      <c r="N167">
        <v>1011</v>
      </c>
      <c r="O167" t="s">
        <v>700</v>
      </c>
      <c r="P167" t="s">
        <v>700</v>
      </c>
      <c r="Q167">
        <v>1</v>
      </c>
      <c r="X167">
        <v>1.58</v>
      </c>
      <c r="Y167">
        <v>0</v>
      </c>
      <c r="Z167">
        <v>91.76</v>
      </c>
      <c r="AA167">
        <v>10.35</v>
      </c>
      <c r="AB167">
        <v>0</v>
      </c>
      <c r="AC167">
        <v>0</v>
      </c>
      <c r="AD167">
        <v>1</v>
      </c>
      <c r="AE167">
        <v>0</v>
      </c>
      <c r="AF167" t="s">
        <v>3</v>
      </c>
      <c r="AG167">
        <v>1.58</v>
      </c>
      <c r="AH167">
        <v>2</v>
      </c>
      <c r="AI167">
        <v>94799841</v>
      </c>
      <c r="AJ167">
        <v>167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ROW(Source!A257)</f>
        <v>257</v>
      </c>
      <c r="B168">
        <v>94799842</v>
      </c>
      <c r="C168">
        <v>94799835</v>
      </c>
      <c r="D168">
        <v>37736786</v>
      </c>
      <c r="E168">
        <v>1</v>
      </c>
      <c r="F168">
        <v>1</v>
      </c>
      <c r="G168">
        <v>1</v>
      </c>
      <c r="H168">
        <v>3</v>
      </c>
      <c r="I168" t="s">
        <v>352</v>
      </c>
      <c r="J168" t="s">
        <v>354</v>
      </c>
      <c r="K168" t="s">
        <v>353</v>
      </c>
      <c r="L168">
        <v>1348</v>
      </c>
      <c r="N168">
        <v>1009</v>
      </c>
      <c r="O168" t="s">
        <v>170</v>
      </c>
      <c r="P168" t="s">
        <v>170</v>
      </c>
      <c r="Q168">
        <v>1000</v>
      </c>
      <c r="X168">
        <v>0.03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 t="s">
        <v>3</v>
      </c>
      <c r="AG168">
        <v>0.03</v>
      </c>
      <c r="AH168">
        <v>2</v>
      </c>
      <c r="AI168">
        <v>94799842</v>
      </c>
      <c r="AJ168">
        <v>168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ROW(Source!A257)</f>
        <v>257</v>
      </c>
      <c r="B169">
        <v>94799843</v>
      </c>
      <c r="C169">
        <v>94799835</v>
      </c>
      <c r="D169">
        <v>37751161</v>
      </c>
      <c r="E169">
        <v>1</v>
      </c>
      <c r="F169">
        <v>1</v>
      </c>
      <c r="G169">
        <v>1</v>
      </c>
      <c r="H169">
        <v>3</v>
      </c>
      <c r="I169" t="s">
        <v>45</v>
      </c>
      <c r="J169" t="s">
        <v>48</v>
      </c>
      <c r="K169" t="s">
        <v>46</v>
      </c>
      <c r="L169">
        <v>1354</v>
      </c>
      <c r="N169">
        <v>1010</v>
      </c>
      <c r="O169" t="s">
        <v>47</v>
      </c>
      <c r="P169" t="s">
        <v>47</v>
      </c>
      <c r="Q169">
        <v>1</v>
      </c>
      <c r="X169">
        <v>100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 t="s">
        <v>3</v>
      </c>
      <c r="AG169">
        <v>100</v>
      </c>
      <c r="AH169">
        <v>2</v>
      </c>
      <c r="AI169">
        <v>94799843</v>
      </c>
      <c r="AJ169">
        <v>169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ROW(Source!A261)</f>
        <v>261</v>
      </c>
      <c r="B170">
        <v>94799848</v>
      </c>
      <c r="C170">
        <v>94799847</v>
      </c>
      <c r="D170">
        <v>23134955</v>
      </c>
      <c r="E170">
        <v>1</v>
      </c>
      <c r="F170">
        <v>1</v>
      </c>
      <c r="G170">
        <v>1</v>
      </c>
      <c r="H170">
        <v>1</v>
      </c>
      <c r="I170" t="s">
        <v>772</v>
      </c>
      <c r="J170" t="s">
        <v>3</v>
      </c>
      <c r="K170" t="s">
        <v>773</v>
      </c>
      <c r="L170">
        <v>1369</v>
      </c>
      <c r="N170">
        <v>1013</v>
      </c>
      <c r="O170" t="s">
        <v>696</v>
      </c>
      <c r="P170" t="s">
        <v>696</v>
      </c>
      <c r="Q170">
        <v>1</v>
      </c>
      <c r="X170">
        <v>63.28</v>
      </c>
      <c r="Y170">
        <v>0</v>
      </c>
      <c r="Z170">
        <v>0</v>
      </c>
      <c r="AA170">
        <v>0</v>
      </c>
      <c r="AB170">
        <v>8.17</v>
      </c>
      <c r="AC170">
        <v>0</v>
      </c>
      <c r="AD170">
        <v>1</v>
      </c>
      <c r="AE170">
        <v>1</v>
      </c>
      <c r="AF170" t="s">
        <v>3</v>
      </c>
      <c r="AG170">
        <v>63.28</v>
      </c>
      <c r="AH170">
        <v>2</v>
      </c>
      <c r="AI170">
        <v>94799848</v>
      </c>
      <c r="AJ170">
        <v>170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ROW(Source!A261)</f>
        <v>261</v>
      </c>
      <c r="B171">
        <v>94799849</v>
      </c>
      <c r="C171">
        <v>94799847</v>
      </c>
      <c r="D171">
        <v>121548</v>
      </c>
      <c r="E171">
        <v>1</v>
      </c>
      <c r="F171">
        <v>1</v>
      </c>
      <c r="G171">
        <v>1</v>
      </c>
      <c r="H171">
        <v>1</v>
      </c>
      <c r="I171" t="s">
        <v>28</v>
      </c>
      <c r="J171" t="s">
        <v>3</v>
      </c>
      <c r="K171" t="s">
        <v>705</v>
      </c>
      <c r="L171">
        <v>608254</v>
      </c>
      <c r="N171">
        <v>1013</v>
      </c>
      <c r="O171" t="s">
        <v>706</v>
      </c>
      <c r="P171" t="s">
        <v>706</v>
      </c>
      <c r="Q171">
        <v>1</v>
      </c>
      <c r="X171">
        <v>3.82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2</v>
      </c>
      <c r="AF171" t="s">
        <v>3</v>
      </c>
      <c r="AG171">
        <v>3.82</v>
      </c>
      <c r="AH171">
        <v>2</v>
      </c>
      <c r="AI171">
        <v>94799849</v>
      </c>
      <c r="AJ171">
        <v>171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ROW(Source!A261)</f>
        <v>261</v>
      </c>
      <c r="B172">
        <v>94799850</v>
      </c>
      <c r="C172">
        <v>94799847</v>
      </c>
      <c r="D172">
        <v>37802375</v>
      </c>
      <c r="E172">
        <v>1</v>
      </c>
      <c r="F172">
        <v>1</v>
      </c>
      <c r="G172">
        <v>1</v>
      </c>
      <c r="H172">
        <v>2</v>
      </c>
      <c r="I172" t="s">
        <v>821</v>
      </c>
      <c r="J172" t="s">
        <v>822</v>
      </c>
      <c r="K172" t="s">
        <v>823</v>
      </c>
      <c r="L172">
        <v>1368</v>
      </c>
      <c r="N172">
        <v>1011</v>
      </c>
      <c r="O172" t="s">
        <v>700</v>
      </c>
      <c r="P172" t="s">
        <v>700</v>
      </c>
      <c r="Q172">
        <v>1</v>
      </c>
      <c r="X172">
        <v>0.1</v>
      </c>
      <c r="Y172">
        <v>0</v>
      </c>
      <c r="Z172">
        <v>159.85</v>
      </c>
      <c r="AA172">
        <v>13.78</v>
      </c>
      <c r="AB172">
        <v>0</v>
      </c>
      <c r="AC172">
        <v>0</v>
      </c>
      <c r="AD172">
        <v>1</v>
      </c>
      <c r="AE172">
        <v>0</v>
      </c>
      <c r="AF172" t="s">
        <v>3</v>
      </c>
      <c r="AG172">
        <v>0.1</v>
      </c>
      <c r="AH172">
        <v>2</v>
      </c>
      <c r="AI172">
        <v>94799850</v>
      </c>
      <c r="AJ172">
        <v>172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ROW(Source!A261)</f>
        <v>261</v>
      </c>
      <c r="B173">
        <v>94799851</v>
      </c>
      <c r="C173">
        <v>94799847</v>
      </c>
      <c r="D173">
        <v>37802443</v>
      </c>
      <c r="E173">
        <v>1</v>
      </c>
      <c r="F173">
        <v>1</v>
      </c>
      <c r="G173">
        <v>1</v>
      </c>
      <c r="H173">
        <v>2</v>
      </c>
      <c r="I173" t="s">
        <v>721</v>
      </c>
      <c r="J173" t="s">
        <v>722</v>
      </c>
      <c r="K173" t="s">
        <v>723</v>
      </c>
      <c r="L173">
        <v>1368</v>
      </c>
      <c r="N173">
        <v>1011</v>
      </c>
      <c r="O173" t="s">
        <v>700</v>
      </c>
      <c r="P173" t="s">
        <v>700</v>
      </c>
      <c r="Q173">
        <v>1</v>
      </c>
      <c r="X173">
        <v>0.12</v>
      </c>
      <c r="Y173">
        <v>0</v>
      </c>
      <c r="Z173">
        <v>124.14</v>
      </c>
      <c r="AA173">
        <v>12.1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0.12</v>
      </c>
      <c r="AH173">
        <v>2</v>
      </c>
      <c r="AI173">
        <v>94799851</v>
      </c>
      <c r="AJ173">
        <v>173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ROW(Source!A261)</f>
        <v>261</v>
      </c>
      <c r="B174">
        <v>94799852</v>
      </c>
      <c r="C174">
        <v>94799847</v>
      </c>
      <c r="D174">
        <v>37802464</v>
      </c>
      <c r="E174">
        <v>1</v>
      </c>
      <c r="F174">
        <v>1</v>
      </c>
      <c r="G174">
        <v>1</v>
      </c>
      <c r="H174">
        <v>2</v>
      </c>
      <c r="I174" t="s">
        <v>909</v>
      </c>
      <c r="J174" t="s">
        <v>910</v>
      </c>
      <c r="K174" t="s">
        <v>911</v>
      </c>
      <c r="L174">
        <v>1368</v>
      </c>
      <c r="N174">
        <v>1011</v>
      </c>
      <c r="O174" t="s">
        <v>700</v>
      </c>
      <c r="P174" t="s">
        <v>700</v>
      </c>
      <c r="Q174">
        <v>1</v>
      </c>
      <c r="X174">
        <v>3.6</v>
      </c>
      <c r="Y174">
        <v>0</v>
      </c>
      <c r="Z174">
        <v>142.33000000000001</v>
      </c>
      <c r="AA174">
        <v>12.1</v>
      </c>
      <c r="AB174">
        <v>0</v>
      </c>
      <c r="AC174">
        <v>0</v>
      </c>
      <c r="AD174">
        <v>1</v>
      </c>
      <c r="AE174">
        <v>0</v>
      </c>
      <c r="AF174" t="s">
        <v>3</v>
      </c>
      <c r="AG174">
        <v>3.6</v>
      </c>
      <c r="AH174">
        <v>2</v>
      </c>
      <c r="AI174">
        <v>94799852</v>
      </c>
      <c r="AJ174">
        <v>174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ROW(Source!A261)</f>
        <v>261</v>
      </c>
      <c r="B175">
        <v>94799853</v>
      </c>
      <c r="C175">
        <v>94799847</v>
      </c>
      <c r="D175">
        <v>37802659</v>
      </c>
      <c r="E175">
        <v>1</v>
      </c>
      <c r="F175">
        <v>1</v>
      </c>
      <c r="G175">
        <v>1</v>
      </c>
      <c r="H175">
        <v>2</v>
      </c>
      <c r="I175" t="s">
        <v>777</v>
      </c>
      <c r="J175" t="s">
        <v>778</v>
      </c>
      <c r="K175" t="s">
        <v>779</v>
      </c>
      <c r="L175">
        <v>1368</v>
      </c>
      <c r="N175">
        <v>1011</v>
      </c>
      <c r="O175" t="s">
        <v>700</v>
      </c>
      <c r="P175" t="s">
        <v>700</v>
      </c>
      <c r="Q175">
        <v>1</v>
      </c>
      <c r="X175">
        <v>1.46</v>
      </c>
      <c r="Y175">
        <v>0</v>
      </c>
      <c r="Z175">
        <v>1.43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3</v>
      </c>
      <c r="AG175">
        <v>1.46</v>
      </c>
      <c r="AH175">
        <v>2</v>
      </c>
      <c r="AI175">
        <v>94799853</v>
      </c>
      <c r="AJ175">
        <v>175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ROW(Source!A261)</f>
        <v>261</v>
      </c>
      <c r="B176">
        <v>94799854</v>
      </c>
      <c r="C176">
        <v>94799847</v>
      </c>
      <c r="D176">
        <v>37802669</v>
      </c>
      <c r="E176">
        <v>1</v>
      </c>
      <c r="F176">
        <v>1</v>
      </c>
      <c r="G176">
        <v>1</v>
      </c>
      <c r="H176">
        <v>2</v>
      </c>
      <c r="I176" t="s">
        <v>833</v>
      </c>
      <c r="J176" t="s">
        <v>834</v>
      </c>
      <c r="K176" t="s">
        <v>835</v>
      </c>
      <c r="L176">
        <v>1368</v>
      </c>
      <c r="N176">
        <v>1011</v>
      </c>
      <c r="O176" t="s">
        <v>700</v>
      </c>
      <c r="P176" t="s">
        <v>700</v>
      </c>
      <c r="Q176">
        <v>1</v>
      </c>
      <c r="X176">
        <v>0.1</v>
      </c>
      <c r="Y176">
        <v>0</v>
      </c>
      <c r="Z176">
        <v>9.6999999999999993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3</v>
      </c>
      <c r="AG176">
        <v>0.1</v>
      </c>
      <c r="AH176">
        <v>2</v>
      </c>
      <c r="AI176">
        <v>94799854</v>
      </c>
      <c r="AJ176">
        <v>176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ROW(Source!A261)</f>
        <v>261</v>
      </c>
      <c r="B177">
        <v>94799855</v>
      </c>
      <c r="C177">
        <v>94799847</v>
      </c>
      <c r="D177">
        <v>37804456</v>
      </c>
      <c r="E177">
        <v>1</v>
      </c>
      <c r="F177">
        <v>1</v>
      </c>
      <c r="G177">
        <v>1</v>
      </c>
      <c r="H177">
        <v>2</v>
      </c>
      <c r="I177" t="s">
        <v>713</v>
      </c>
      <c r="J177" t="s">
        <v>714</v>
      </c>
      <c r="K177" t="s">
        <v>715</v>
      </c>
      <c r="L177">
        <v>1368</v>
      </c>
      <c r="N177">
        <v>1011</v>
      </c>
      <c r="O177" t="s">
        <v>700</v>
      </c>
      <c r="P177" t="s">
        <v>700</v>
      </c>
      <c r="Q177">
        <v>1</v>
      </c>
      <c r="X177">
        <v>0.19</v>
      </c>
      <c r="Y177">
        <v>0</v>
      </c>
      <c r="Z177">
        <v>91.76</v>
      </c>
      <c r="AA177">
        <v>10.35</v>
      </c>
      <c r="AB177">
        <v>0</v>
      </c>
      <c r="AC177">
        <v>0</v>
      </c>
      <c r="AD177">
        <v>1</v>
      </c>
      <c r="AE177">
        <v>0</v>
      </c>
      <c r="AF177" t="s">
        <v>3</v>
      </c>
      <c r="AG177">
        <v>0.19</v>
      </c>
      <c r="AH177">
        <v>2</v>
      </c>
      <c r="AI177">
        <v>94799855</v>
      </c>
      <c r="AJ177">
        <v>177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ROW(Source!A261)</f>
        <v>261</v>
      </c>
      <c r="B178">
        <v>94799856</v>
      </c>
      <c r="C178">
        <v>94799847</v>
      </c>
      <c r="D178">
        <v>37730053</v>
      </c>
      <c r="E178">
        <v>1</v>
      </c>
      <c r="F178">
        <v>1</v>
      </c>
      <c r="G178">
        <v>1</v>
      </c>
      <c r="H178">
        <v>3</v>
      </c>
      <c r="I178" t="s">
        <v>839</v>
      </c>
      <c r="J178" t="s">
        <v>840</v>
      </c>
      <c r="K178" t="s">
        <v>841</v>
      </c>
      <c r="L178">
        <v>1348</v>
      </c>
      <c r="N178">
        <v>1009</v>
      </c>
      <c r="O178" t="s">
        <v>170</v>
      </c>
      <c r="P178" t="s">
        <v>170</v>
      </c>
      <c r="Q178">
        <v>1000</v>
      </c>
      <c r="X178">
        <v>1E-4</v>
      </c>
      <c r="Y178">
        <v>37900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3</v>
      </c>
      <c r="AG178">
        <v>1E-4</v>
      </c>
      <c r="AH178">
        <v>2</v>
      </c>
      <c r="AI178">
        <v>94799856</v>
      </c>
      <c r="AJ178">
        <v>178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ROW(Source!A261)</f>
        <v>261</v>
      </c>
      <c r="B179">
        <v>94799857</v>
      </c>
      <c r="C179">
        <v>94799847</v>
      </c>
      <c r="D179">
        <v>37729659</v>
      </c>
      <c r="E179">
        <v>1</v>
      </c>
      <c r="F179">
        <v>1</v>
      </c>
      <c r="G179">
        <v>1</v>
      </c>
      <c r="H179">
        <v>3</v>
      </c>
      <c r="I179" t="s">
        <v>187</v>
      </c>
      <c r="J179" t="s">
        <v>189</v>
      </c>
      <c r="K179" t="s">
        <v>188</v>
      </c>
      <c r="L179">
        <v>1339</v>
      </c>
      <c r="N179">
        <v>1007</v>
      </c>
      <c r="O179" t="s">
        <v>52</v>
      </c>
      <c r="P179" t="s">
        <v>52</v>
      </c>
      <c r="Q179">
        <v>1</v>
      </c>
      <c r="X179">
        <v>1.2</v>
      </c>
      <c r="Y179">
        <v>6.22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3</v>
      </c>
      <c r="AG179">
        <v>1.2</v>
      </c>
      <c r="AH179">
        <v>2</v>
      </c>
      <c r="AI179">
        <v>94799857</v>
      </c>
      <c r="AJ179">
        <v>179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ROW(Source!A261)</f>
        <v>261</v>
      </c>
      <c r="B180">
        <v>94799858</v>
      </c>
      <c r="C180">
        <v>94799847</v>
      </c>
      <c r="D180">
        <v>37736264</v>
      </c>
      <c r="E180">
        <v>1</v>
      </c>
      <c r="F180">
        <v>1</v>
      </c>
      <c r="G180">
        <v>1</v>
      </c>
      <c r="H180">
        <v>3</v>
      </c>
      <c r="I180" t="s">
        <v>842</v>
      </c>
      <c r="J180" t="s">
        <v>843</v>
      </c>
      <c r="K180" t="s">
        <v>844</v>
      </c>
      <c r="L180">
        <v>1348</v>
      </c>
      <c r="N180">
        <v>1009</v>
      </c>
      <c r="O180" t="s">
        <v>170</v>
      </c>
      <c r="P180" t="s">
        <v>170</v>
      </c>
      <c r="Q180">
        <v>1000</v>
      </c>
      <c r="X180">
        <v>3.0000000000000001E-5</v>
      </c>
      <c r="Y180">
        <v>4455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 t="s">
        <v>3</v>
      </c>
      <c r="AG180">
        <v>3.0000000000000001E-5</v>
      </c>
      <c r="AH180">
        <v>2</v>
      </c>
      <c r="AI180">
        <v>94799858</v>
      </c>
      <c r="AJ180">
        <v>180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ROW(Source!A261)</f>
        <v>261</v>
      </c>
      <c r="B181">
        <v>94799859</v>
      </c>
      <c r="C181">
        <v>94799847</v>
      </c>
      <c r="D181">
        <v>37736447</v>
      </c>
      <c r="E181">
        <v>1</v>
      </c>
      <c r="F181">
        <v>1</v>
      </c>
      <c r="G181">
        <v>1</v>
      </c>
      <c r="H181">
        <v>3</v>
      </c>
      <c r="I181" t="s">
        <v>845</v>
      </c>
      <c r="J181" t="s">
        <v>846</v>
      </c>
      <c r="K181" t="s">
        <v>847</v>
      </c>
      <c r="L181">
        <v>1348</v>
      </c>
      <c r="N181">
        <v>1009</v>
      </c>
      <c r="O181" t="s">
        <v>170</v>
      </c>
      <c r="P181" t="s">
        <v>170</v>
      </c>
      <c r="Q181">
        <v>1000</v>
      </c>
      <c r="X181">
        <v>1.9400000000000001E-3</v>
      </c>
      <c r="Y181">
        <v>5191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3</v>
      </c>
      <c r="AG181">
        <v>1.9400000000000001E-3</v>
      </c>
      <c r="AH181">
        <v>2</v>
      </c>
      <c r="AI181">
        <v>94799859</v>
      </c>
      <c r="AJ181">
        <v>181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ROW(Source!A261)</f>
        <v>261</v>
      </c>
      <c r="B182">
        <v>94799860</v>
      </c>
      <c r="C182">
        <v>94799847</v>
      </c>
      <c r="D182">
        <v>37736609</v>
      </c>
      <c r="E182">
        <v>1</v>
      </c>
      <c r="F182">
        <v>1</v>
      </c>
      <c r="G182">
        <v>1</v>
      </c>
      <c r="H182">
        <v>3</v>
      </c>
      <c r="I182" t="s">
        <v>912</v>
      </c>
      <c r="J182" t="s">
        <v>913</v>
      </c>
      <c r="K182" t="s">
        <v>914</v>
      </c>
      <c r="L182">
        <v>1348</v>
      </c>
      <c r="N182">
        <v>1009</v>
      </c>
      <c r="O182" t="s">
        <v>170</v>
      </c>
      <c r="P182" t="s">
        <v>170</v>
      </c>
      <c r="Q182">
        <v>1000</v>
      </c>
      <c r="X182">
        <v>4.4000000000000002E-4</v>
      </c>
      <c r="Y182">
        <v>9750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3</v>
      </c>
      <c r="AG182">
        <v>4.4000000000000002E-4</v>
      </c>
      <c r="AH182">
        <v>2</v>
      </c>
      <c r="AI182">
        <v>94799860</v>
      </c>
      <c r="AJ182">
        <v>182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ROW(Source!A261)</f>
        <v>261</v>
      </c>
      <c r="B183">
        <v>94799861</v>
      </c>
      <c r="C183">
        <v>94799847</v>
      </c>
      <c r="D183">
        <v>37736859</v>
      </c>
      <c r="E183">
        <v>1</v>
      </c>
      <c r="F183">
        <v>1</v>
      </c>
      <c r="G183">
        <v>1</v>
      </c>
      <c r="H183">
        <v>3</v>
      </c>
      <c r="I183" t="s">
        <v>252</v>
      </c>
      <c r="J183" t="s">
        <v>254</v>
      </c>
      <c r="K183" t="s">
        <v>253</v>
      </c>
      <c r="L183">
        <v>1348</v>
      </c>
      <c r="N183">
        <v>1009</v>
      </c>
      <c r="O183" t="s">
        <v>170</v>
      </c>
      <c r="P183" t="s">
        <v>170</v>
      </c>
      <c r="Q183">
        <v>1000</v>
      </c>
      <c r="X183">
        <v>2.1000000000000001E-2</v>
      </c>
      <c r="Y183">
        <v>9040.01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3</v>
      </c>
      <c r="AG183">
        <v>2.1000000000000001E-2</v>
      </c>
      <c r="AH183">
        <v>2</v>
      </c>
      <c r="AI183">
        <v>94799861</v>
      </c>
      <c r="AJ183">
        <v>183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ROW(Source!A261)</f>
        <v>261</v>
      </c>
      <c r="B184">
        <v>94799862</v>
      </c>
      <c r="C184">
        <v>94799847</v>
      </c>
      <c r="D184">
        <v>37736933</v>
      </c>
      <c r="E184">
        <v>1</v>
      </c>
      <c r="F184">
        <v>1</v>
      </c>
      <c r="G184">
        <v>1</v>
      </c>
      <c r="H184">
        <v>3</v>
      </c>
      <c r="I184" t="s">
        <v>851</v>
      </c>
      <c r="J184" t="s">
        <v>852</v>
      </c>
      <c r="K184" t="s">
        <v>853</v>
      </c>
      <c r="L184">
        <v>1348</v>
      </c>
      <c r="N184">
        <v>1009</v>
      </c>
      <c r="O184" t="s">
        <v>170</v>
      </c>
      <c r="P184" t="s">
        <v>170</v>
      </c>
      <c r="Q184">
        <v>1000</v>
      </c>
      <c r="X184">
        <v>1.0000000000000001E-5</v>
      </c>
      <c r="Y184">
        <v>12936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3</v>
      </c>
      <c r="AG184">
        <v>1.0000000000000001E-5</v>
      </c>
      <c r="AH184">
        <v>2</v>
      </c>
      <c r="AI184">
        <v>94799862</v>
      </c>
      <c r="AJ184">
        <v>184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ROW(Source!A261)</f>
        <v>261</v>
      </c>
      <c r="B185">
        <v>94799863</v>
      </c>
      <c r="C185">
        <v>94799847</v>
      </c>
      <c r="D185">
        <v>37729662</v>
      </c>
      <c r="E185">
        <v>1</v>
      </c>
      <c r="F185">
        <v>1</v>
      </c>
      <c r="G185">
        <v>1</v>
      </c>
      <c r="H185">
        <v>3</v>
      </c>
      <c r="I185" t="s">
        <v>812</v>
      </c>
      <c r="J185" t="s">
        <v>813</v>
      </c>
      <c r="K185" t="s">
        <v>814</v>
      </c>
      <c r="L185">
        <v>1346</v>
      </c>
      <c r="N185">
        <v>1009</v>
      </c>
      <c r="O185" t="s">
        <v>192</v>
      </c>
      <c r="P185" t="s">
        <v>192</v>
      </c>
      <c r="Q185">
        <v>1</v>
      </c>
      <c r="X185">
        <v>0.36</v>
      </c>
      <c r="Y185">
        <v>6.62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3</v>
      </c>
      <c r="AG185">
        <v>0.36</v>
      </c>
      <c r="AH185">
        <v>2</v>
      </c>
      <c r="AI185">
        <v>94799863</v>
      </c>
      <c r="AJ185">
        <v>185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ROW(Source!A261)</f>
        <v>261</v>
      </c>
      <c r="B186">
        <v>94799864</v>
      </c>
      <c r="C186">
        <v>94799847</v>
      </c>
      <c r="D186">
        <v>37732807</v>
      </c>
      <c r="E186">
        <v>1</v>
      </c>
      <c r="F186">
        <v>1</v>
      </c>
      <c r="G186">
        <v>1</v>
      </c>
      <c r="H186">
        <v>3</v>
      </c>
      <c r="I186" t="s">
        <v>854</v>
      </c>
      <c r="J186" t="s">
        <v>855</v>
      </c>
      <c r="K186" t="s">
        <v>856</v>
      </c>
      <c r="L186">
        <v>1348</v>
      </c>
      <c r="N186">
        <v>1009</v>
      </c>
      <c r="O186" t="s">
        <v>170</v>
      </c>
      <c r="P186" t="s">
        <v>170</v>
      </c>
      <c r="Q186">
        <v>1000</v>
      </c>
      <c r="X186">
        <v>5.9999999999999995E-4</v>
      </c>
      <c r="Y186">
        <v>9420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3</v>
      </c>
      <c r="AG186">
        <v>5.9999999999999995E-4</v>
      </c>
      <c r="AH186">
        <v>2</v>
      </c>
      <c r="AI186">
        <v>94799864</v>
      </c>
      <c r="AJ186">
        <v>186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ROW(Source!A261)</f>
        <v>261</v>
      </c>
      <c r="B187">
        <v>94799865</v>
      </c>
      <c r="C187">
        <v>94799847</v>
      </c>
      <c r="D187">
        <v>37738047</v>
      </c>
      <c r="E187">
        <v>1</v>
      </c>
      <c r="F187">
        <v>1</v>
      </c>
      <c r="G187">
        <v>1</v>
      </c>
      <c r="H187">
        <v>3</v>
      </c>
      <c r="I187" t="s">
        <v>857</v>
      </c>
      <c r="J187" t="s">
        <v>858</v>
      </c>
      <c r="K187" t="s">
        <v>859</v>
      </c>
      <c r="L187">
        <v>1339</v>
      </c>
      <c r="N187">
        <v>1007</v>
      </c>
      <c r="O187" t="s">
        <v>52</v>
      </c>
      <c r="P187" t="s">
        <v>52</v>
      </c>
      <c r="Q187">
        <v>1</v>
      </c>
      <c r="X187">
        <v>1.0300000000000001E-3</v>
      </c>
      <c r="Y187">
        <v>1421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0</v>
      </c>
      <c r="AF187" t="s">
        <v>3</v>
      </c>
      <c r="AG187">
        <v>1.0300000000000001E-3</v>
      </c>
      <c r="AH187">
        <v>2</v>
      </c>
      <c r="AI187">
        <v>94799865</v>
      </c>
      <c r="AJ187">
        <v>187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ROW(Source!A261)</f>
        <v>261</v>
      </c>
      <c r="B188">
        <v>94799866</v>
      </c>
      <c r="C188">
        <v>94799847</v>
      </c>
      <c r="D188">
        <v>37744698</v>
      </c>
      <c r="E188">
        <v>1</v>
      </c>
      <c r="F188">
        <v>1</v>
      </c>
      <c r="G188">
        <v>1</v>
      </c>
      <c r="H188">
        <v>3</v>
      </c>
      <c r="I188" t="s">
        <v>178</v>
      </c>
      <c r="J188" t="s">
        <v>180</v>
      </c>
      <c r="K188" t="s">
        <v>179</v>
      </c>
      <c r="L188">
        <v>1348</v>
      </c>
      <c r="N188">
        <v>1009</v>
      </c>
      <c r="O188" t="s">
        <v>170</v>
      </c>
      <c r="P188" t="s">
        <v>170</v>
      </c>
      <c r="Q188">
        <v>1000</v>
      </c>
      <c r="X188">
        <v>3.1E-4</v>
      </c>
      <c r="Y188">
        <v>15620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3.1E-4</v>
      </c>
      <c r="AH188">
        <v>2</v>
      </c>
      <c r="AI188">
        <v>94799866</v>
      </c>
      <c r="AJ188">
        <v>188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ROW(Source!A261)</f>
        <v>261</v>
      </c>
      <c r="B189">
        <v>94799867</v>
      </c>
      <c r="C189">
        <v>94799847</v>
      </c>
      <c r="D189">
        <v>37751308</v>
      </c>
      <c r="E189">
        <v>1</v>
      </c>
      <c r="F189">
        <v>1</v>
      </c>
      <c r="G189">
        <v>1</v>
      </c>
      <c r="H189">
        <v>3</v>
      </c>
      <c r="I189" t="s">
        <v>860</v>
      </c>
      <c r="J189" t="s">
        <v>861</v>
      </c>
      <c r="K189" t="s">
        <v>862</v>
      </c>
      <c r="L189">
        <v>1348</v>
      </c>
      <c r="N189">
        <v>1009</v>
      </c>
      <c r="O189" t="s">
        <v>170</v>
      </c>
      <c r="P189" t="s">
        <v>170</v>
      </c>
      <c r="Q189">
        <v>1000</v>
      </c>
      <c r="X189">
        <v>2.0000000000000001E-4</v>
      </c>
      <c r="Y189">
        <v>7712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3</v>
      </c>
      <c r="AG189">
        <v>2.0000000000000001E-4</v>
      </c>
      <c r="AH189">
        <v>2</v>
      </c>
      <c r="AI189">
        <v>94799867</v>
      </c>
      <c r="AJ189">
        <v>189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ROW(Source!A261)</f>
        <v>261</v>
      </c>
      <c r="B190">
        <v>94799868</v>
      </c>
      <c r="C190">
        <v>94799847</v>
      </c>
      <c r="D190">
        <v>37750153</v>
      </c>
      <c r="E190">
        <v>1</v>
      </c>
      <c r="F190">
        <v>1</v>
      </c>
      <c r="G190">
        <v>1</v>
      </c>
      <c r="H190">
        <v>3</v>
      </c>
      <c r="I190" t="s">
        <v>256</v>
      </c>
      <c r="J190" t="s">
        <v>258</v>
      </c>
      <c r="K190" t="s">
        <v>257</v>
      </c>
      <c r="L190">
        <v>1348</v>
      </c>
      <c r="N190">
        <v>1009</v>
      </c>
      <c r="O190" t="s">
        <v>170</v>
      </c>
      <c r="P190" t="s">
        <v>170</v>
      </c>
      <c r="Q190">
        <v>1000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 t="s">
        <v>3</v>
      </c>
      <c r="AG190">
        <v>1</v>
      </c>
      <c r="AH190">
        <v>2</v>
      </c>
      <c r="AI190">
        <v>94799868</v>
      </c>
      <c r="AJ190">
        <v>190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ROW(Source!A261)</f>
        <v>261</v>
      </c>
      <c r="B191">
        <v>94799869</v>
      </c>
      <c r="C191">
        <v>94799847</v>
      </c>
      <c r="D191">
        <v>37790931</v>
      </c>
      <c r="E191">
        <v>1</v>
      </c>
      <c r="F191">
        <v>1</v>
      </c>
      <c r="G191">
        <v>1</v>
      </c>
      <c r="H191">
        <v>3</v>
      </c>
      <c r="I191" t="s">
        <v>863</v>
      </c>
      <c r="J191" t="s">
        <v>864</v>
      </c>
      <c r="K191" t="s">
        <v>865</v>
      </c>
      <c r="L191">
        <v>1302</v>
      </c>
      <c r="N191">
        <v>1003</v>
      </c>
      <c r="O191" t="s">
        <v>866</v>
      </c>
      <c r="P191" t="s">
        <v>866</v>
      </c>
      <c r="Q191">
        <v>10</v>
      </c>
      <c r="X191">
        <v>1.8700000000000001E-2</v>
      </c>
      <c r="Y191">
        <v>71.5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3</v>
      </c>
      <c r="AG191">
        <v>1.8700000000000001E-2</v>
      </c>
      <c r="AH191">
        <v>2</v>
      </c>
      <c r="AI191">
        <v>94799869</v>
      </c>
      <c r="AJ191">
        <v>191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ROW(Source!A264)</f>
        <v>264</v>
      </c>
      <c r="B192">
        <v>94799873</v>
      </c>
      <c r="C192">
        <v>94799872</v>
      </c>
      <c r="D192">
        <v>23129487</v>
      </c>
      <c r="E192">
        <v>1</v>
      </c>
      <c r="F192">
        <v>1</v>
      </c>
      <c r="G192">
        <v>1</v>
      </c>
      <c r="H192">
        <v>1</v>
      </c>
      <c r="I192" t="s">
        <v>915</v>
      </c>
      <c r="J192" t="s">
        <v>3</v>
      </c>
      <c r="K192" t="s">
        <v>916</v>
      </c>
      <c r="L192">
        <v>1369</v>
      </c>
      <c r="N192">
        <v>1013</v>
      </c>
      <c r="O192" t="s">
        <v>696</v>
      </c>
      <c r="P192" t="s">
        <v>696</v>
      </c>
      <c r="Q192">
        <v>1</v>
      </c>
      <c r="X192">
        <v>105.28</v>
      </c>
      <c r="Y192">
        <v>0</v>
      </c>
      <c r="Z192">
        <v>0</v>
      </c>
      <c r="AA192">
        <v>0</v>
      </c>
      <c r="AB192">
        <v>8.48</v>
      </c>
      <c r="AC192">
        <v>0</v>
      </c>
      <c r="AD192">
        <v>1</v>
      </c>
      <c r="AE192">
        <v>1</v>
      </c>
      <c r="AF192" t="s">
        <v>3</v>
      </c>
      <c r="AG192">
        <v>105.28</v>
      </c>
      <c r="AH192">
        <v>2</v>
      </c>
      <c r="AI192">
        <v>94799873</v>
      </c>
      <c r="AJ192">
        <v>192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ROW(Source!A264)</f>
        <v>264</v>
      </c>
      <c r="B193">
        <v>94799874</v>
      </c>
      <c r="C193">
        <v>94799872</v>
      </c>
      <c r="D193">
        <v>121548</v>
      </c>
      <c r="E193">
        <v>1</v>
      </c>
      <c r="F193">
        <v>1</v>
      </c>
      <c r="G193">
        <v>1</v>
      </c>
      <c r="H193">
        <v>1</v>
      </c>
      <c r="I193" t="s">
        <v>28</v>
      </c>
      <c r="J193" t="s">
        <v>3</v>
      </c>
      <c r="K193" t="s">
        <v>705</v>
      </c>
      <c r="L193">
        <v>608254</v>
      </c>
      <c r="N193">
        <v>1013</v>
      </c>
      <c r="O193" t="s">
        <v>706</v>
      </c>
      <c r="P193" t="s">
        <v>706</v>
      </c>
      <c r="Q193">
        <v>1</v>
      </c>
      <c r="X193">
        <v>16.399999999999999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2</v>
      </c>
      <c r="AF193" t="s">
        <v>3</v>
      </c>
      <c r="AG193">
        <v>16.399999999999999</v>
      </c>
      <c r="AH193">
        <v>2</v>
      </c>
      <c r="AI193">
        <v>94799874</v>
      </c>
      <c r="AJ193">
        <v>193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ROW(Source!A264)</f>
        <v>264</v>
      </c>
      <c r="B194">
        <v>94799875</v>
      </c>
      <c r="C194">
        <v>94799872</v>
      </c>
      <c r="D194">
        <v>37802375</v>
      </c>
      <c r="E194">
        <v>1</v>
      </c>
      <c r="F194">
        <v>1</v>
      </c>
      <c r="G194">
        <v>1</v>
      </c>
      <c r="H194">
        <v>2</v>
      </c>
      <c r="I194" t="s">
        <v>821</v>
      </c>
      <c r="J194" t="s">
        <v>822</v>
      </c>
      <c r="K194" t="s">
        <v>823</v>
      </c>
      <c r="L194">
        <v>1368</v>
      </c>
      <c r="N194">
        <v>1011</v>
      </c>
      <c r="O194" t="s">
        <v>700</v>
      </c>
      <c r="P194" t="s">
        <v>700</v>
      </c>
      <c r="Q194">
        <v>1</v>
      </c>
      <c r="X194">
        <v>0.89</v>
      </c>
      <c r="Y194">
        <v>0</v>
      </c>
      <c r="Z194">
        <v>159.85</v>
      </c>
      <c r="AA194">
        <v>13.78</v>
      </c>
      <c r="AB194">
        <v>0</v>
      </c>
      <c r="AC194">
        <v>0</v>
      </c>
      <c r="AD194">
        <v>1</v>
      </c>
      <c r="AE194">
        <v>0</v>
      </c>
      <c r="AF194" t="s">
        <v>3</v>
      </c>
      <c r="AG194">
        <v>0.89</v>
      </c>
      <c r="AH194">
        <v>2</v>
      </c>
      <c r="AI194">
        <v>94799875</v>
      </c>
      <c r="AJ194">
        <v>194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ROW(Source!A264)</f>
        <v>264</v>
      </c>
      <c r="B195">
        <v>94799876</v>
      </c>
      <c r="C195">
        <v>94799872</v>
      </c>
      <c r="D195">
        <v>37802443</v>
      </c>
      <c r="E195">
        <v>1</v>
      </c>
      <c r="F195">
        <v>1</v>
      </c>
      <c r="G195">
        <v>1</v>
      </c>
      <c r="H195">
        <v>2</v>
      </c>
      <c r="I195" t="s">
        <v>721</v>
      </c>
      <c r="J195" t="s">
        <v>722</v>
      </c>
      <c r="K195" t="s">
        <v>723</v>
      </c>
      <c r="L195">
        <v>1368</v>
      </c>
      <c r="N195">
        <v>1011</v>
      </c>
      <c r="O195" t="s">
        <v>700</v>
      </c>
      <c r="P195" t="s">
        <v>700</v>
      </c>
      <c r="Q195">
        <v>1</v>
      </c>
      <c r="X195">
        <v>0.34</v>
      </c>
      <c r="Y195">
        <v>0</v>
      </c>
      <c r="Z195">
        <v>124.14</v>
      </c>
      <c r="AA195">
        <v>12.1</v>
      </c>
      <c r="AB195">
        <v>0</v>
      </c>
      <c r="AC195">
        <v>0</v>
      </c>
      <c r="AD195">
        <v>1</v>
      </c>
      <c r="AE195">
        <v>0</v>
      </c>
      <c r="AF195" t="s">
        <v>3</v>
      </c>
      <c r="AG195">
        <v>0.34</v>
      </c>
      <c r="AH195">
        <v>2</v>
      </c>
      <c r="AI195">
        <v>94799876</v>
      </c>
      <c r="AJ195">
        <v>195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ROW(Source!A264)</f>
        <v>264</v>
      </c>
      <c r="B196">
        <v>94799877</v>
      </c>
      <c r="C196">
        <v>94799872</v>
      </c>
      <c r="D196">
        <v>37802449</v>
      </c>
      <c r="E196">
        <v>1</v>
      </c>
      <c r="F196">
        <v>1</v>
      </c>
      <c r="G196">
        <v>1</v>
      </c>
      <c r="H196">
        <v>2</v>
      </c>
      <c r="I196" t="s">
        <v>917</v>
      </c>
      <c r="J196" t="s">
        <v>918</v>
      </c>
      <c r="K196" t="s">
        <v>919</v>
      </c>
      <c r="L196">
        <v>1368</v>
      </c>
      <c r="N196">
        <v>1011</v>
      </c>
      <c r="O196" t="s">
        <v>700</v>
      </c>
      <c r="P196" t="s">
        <v>700</v>
      </c>
      <c r="Q196">
        <v>1</v>
      </c>
      <c r="X196">
        <v>5.8</v>
      </c>
      <c r="Y196">
        <v>0</v>
      </c>
      <c r="Z196">
        <v>144.47</v>
      </c>
      <c r="AA196">
        <v>12.1</v>
      </c>
      <c r="AB196">
        <v>0</v>
      </c>
      <c r="AC196">
        <v>0</v>
      </c>
      <c r="AD196">
        <v>1</v>
      </c>
      <c r="AE196">
        <v>0</v>
      </c>
      <c r="AF196" t="s">
        <v>3</v>
      </c>
      <c r="AG196">
        <v>5.8</v>
      </c>
      <c r="AH196">
        <v>2</v>
      </c>
      <c r="AI196">
        <v>94799877</v>
      </c>
      <c r="AJ196">
        <v>196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ROW(Source!A264)</f>
        <v>264</v>
      </c>
      <c r="B197">
        <v>94799878</v>
      </c>
      <c r="C197">
        <v>94799872</v>
      </c>
      <c r="D197">
        <v>37802465</v>
      </c>
      <c r="E197">
        <v>1</v>
      </c>
      <c r="F197">
        <v>1</v>
      </c>
      <c r="G197">
        <v>1</v>
      </c>
      <c r="H197">
        <v>2</v>
      </c>
      <c r="I197" t="s">
        <v>920</v>
      </c>
      <c r="J197" t="s">
        <v>921</v>
      </c>
      <c r="K197" t="s">
        <v>922</v>
      </c>
      <c r="L197">
        <v>1368</v>
      </c>
      <c r="N197">
        <v>1011</v>
      </c>
      <c r="O197" t="s">
        <v>700</v>
      </c>
      <c r="P197" t="s">
        <v>700</v>
      </c>
      <c r="Q197">
        <v>1</v>
      </c>
      <c r="X197">
        <v>4.8899999999999997</v>
      </c>
      <c r="Y197">
        <v>0</v>
      </c>
      <c r="Z197">
        <v>187.45</v>
      </c>
      <c r="AA197">
        <v>12.9</v>
      </c>
      <c r="AB197">
        <v>0</v>
      </c>
      <c r="AC197">
        <v>0</v>
      </c>
      <c r="AD197">
        <v>1</v>
      </c>
      <c r="AE197">
        <v>0</v>
      </c>
      <c r="AF197" t="s">
        <v>3</v>
      </c>
      <c r="AG197">
        <v>4.8899999999999997</v>
      </c>
      <c r="AH197">
        <v>2</v>
      </c>
      <c r="AI197">
        <v>94799878</v>
      </c>
      <c r="AJ197">
        <v>197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ROW(Source!A264)</f>
        <v>264</v>
      </c>
      <c r="B198">
        <v>94799879</v>
      </c>
      <c r="C198">
        <v>94799872</v>
      </c>
      <c r="D198">
        <v>37802466</v>
      </c>
      <c r="E198">
        <v>1</v>
      </c>
      <c r="F198">
        <v>1</v>
      </c>
      <c r="G198">
        <v>1</v>
      </c>
      <c r="H198">
        <v>2</v>
      </c>
      <c r="I198" t="s">
        <v>923</v>
      </c>
      <c r="J198" t="s">
        <v>924</v>
      </c>
      <c r="K198" t="s">
        <v>925</v>
      </c>
      <c r="L198">
        <v>1368</v>
      </c>
      <c r="N198">
        <v>1011</v>
      </c>
      <c r="O198" t="s">
        <v>700</v>
      </c>
      <c r="P198" t="s">
        <v>700</v>
      </c>
      <c r="Q198">
        <v>1</v>
      </c>
      <c r="X198">
        <v>2.2400000000000002</v>
      </c>
      <c r="Y198">
        <v>0</v>
      </c>
      <c r="Z198">
        <v>311.41000000000003</v>
      </c>
      <c r="AA198">
        <v>22.45</v>
      </c>
      <c r="AB198">
        <v>0</v>
      </c>
      <c r="AC198">
        <v>0</v>
      </c>
      <c r="AD198">
        <v>1</v>
      </c>
      <c r="AE198">
        <v>0</v>
      </c>
      <c r="AF198" t="s">
        <v>3</v>
      </c>
      <c r="AG198">
        <v>2.2400000000000002</v>
      </c>
      <c r="AH198">
        <v>2</v>
      </c>
      <c r="AI198">
        <v>94799879</v>
      </c>
      <c r="AJ198">
        <v>198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ROW(Source!A264)</f>
        <v>264</v>
      </c>
      <c r="B199">
        <v>94799880</v>
      </c>
      <c r="C199">
        <v>94799872</v>
      </c>
      <c r="D199">
        <v>37802530</v>
      </c>
      <c r="E199">
        <v>1</v>
      </c>
      <c r="F199">
        <v>1</v>
      </c>
      <c r="G199">
        <v>1</v>
      </c>
      <c r="H199">
        <v>2</v>
      </c>
      <c r="I199" t="s">
        <v>827</v>
      </c>
      <c r="J199" t="s">
        <v>828</v>
      </c>
      <c r="K199" t="s">
        <v>829</v>
      </c>
      <c r="L199">
        <v>1368</v>
      </c>
      <c r="N199">
        <v>1011</v>
      </c>
      <c r="O199" t="s">
        <v>700</v>
      </c>
      <c r="P199" t="s">
        <v>700</v>
      </c>
      <c r="Q199">
        <v>1</v>
      </c>
      <c r="X199">
        <v>0.99</v>
      </c>
      <c r="Y199">
        <v>0</v>
      </c>
      <c r="Z199">
        <v>1.52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3</v>
      </c>
      <c r="AG199">
        <v>0.99</v>
      </c>
      <c r="AH199">
        <v>2</v>
      </c>
      <c r="AI199">
        <v>94799880</v>
      </c>
      <c r="AJ199">
        <v>199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ROW(Source!A264)</f>
        <v>264</v>
      </c>
      <c r="B200">
        <v>94799881</v>
      </c>
      <c r="C200">
        <v>94799872</v>
      </c>
      <c r="D200">
        <v>37802659</v>
      </c>
      <c r="E200">
        <v>1</v>
      </c>
      <c r="F200">
        <v>1</v>
      </c>
      <c r="G200">
        <v>1</v>
      </c>
      <c r="H200">
        <v>2</v>
      </c>
      <c r="I200" t="s">
        <v>777</v>
      </c>
      <c r="J200" t="s">
        <v>778</v>
      </c>
      <c r="K200" t="s">
        <v>779</v>
      </c>
      <c r="L200">
        <v>1368</v>
      </c>
      <c r="N200">
        <v>1011</v>
      </c>
      <c r="O200" t="s">
        <v>700</v>
      </c>
      <c r="P200" t="s">
        <v>700</v>
      </c>
      <c r="Q200">
        <v>1</v>
      </c>
      <c r="X200">
        <v>3.36</v>
      </c>
      <c r="Y200">
        <v>0</v>
      </c>
      <c r="Z200">
        <v>1.43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3</v>
      </c>
      <c r="AG200">
        <v>3.36</v>
      </c>
      <c r="AH200">
        <v>2</v>
      </c>
      <c r="AI200">
        <v>94799881</v>
      </c>
      <c r="AJ200">
        <v>200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ROW(Source!A264)</f>
        <v>264</v>
      </c>
      <c r="B201">
        <v>94799882</v>
      </c>
      <c r="C201">
        <v>94799872</v>
      </c>
      <c r="D201">
        <v>37802669</v>
      </c>
      <c r="E201">
        <v>1</v>
      </c>
      <c r="F201">
        <v>1</v>
      </c>
      <c r="G201">
        <v>1</v>
      </c>
      <c r="H201">
        <v>2</v>
      </c>
      <c r="I201" t="s">
        <v>833</v>
      </c>
      <c r="J201" t="s">
        <v>834</v>
      </c>
      <c r="K201" t="s">
        <v>835</v>
      </c>
      <c r="L201">
        <v>1368</v>
      </c>
      <c r="N201">
        <v>1011</v>
      </c>
      <c r="O201" t="s">
        <v>700</v>
      </c>
      <c r="P201" t="s">
        <v>700</v>
      </c>
      <c r="Q201">
        <v>1</v>
      </c>
      <c r="X201">
        <v>0.18</v>
      </c>
      <c r="Y201">
        <v>0</v>
      </c>
      <c r="Z201">
        <v>9.6999999999999993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3</v>
      </c>
      <c r="AG201">
        <v>0.18</v>
      </c>
      <c r="AH201">
        <v>2</v>
      </c>
      <c r="AI201">
        <v>94799882</v>
      </c>
      <c r="AJ201">
        <v>201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ROW(Source!A264)</f>
        <v>264</v>
      </c>
      <c r="B202">
        <v>94799883</v>
      </c>
      <c r="C202">
        <v>94799872</v>
      </c>
      <c r="D202">
        <v>37802676</v>
      </c>
      <c r="E202">
        <v>1</v>
      </c>
      <c r="F202">
        <v>1</v>
      </c>
      <c r="G202">
        <v>1</v>
      </c>
      <c r="H202">
        <v>2</v>
      </c>
      <c r="I202" t="s">
        <v>836</v>
      </c>
      <c r="J202" t="s">
        <v>837</v>
      </c>
      <c r="K202" t="s">
        <v>838</v>
      </c>
      <c r="L202">
        <v>1368</v>
      </c>
      <c r="N202">
        <v>1011</v>
      </c>
      <c r="O202" t="s">
        <v>700</v>
      </c>
      <c r="P202" t="s">
        <v>700</v>
      </c>
      <c r="Q202">
        <v>1</v>
      </c>
      <c r="X202">
        <v>0.02</v>
      </c>
      <c r="Y202">
        <v>0</v>
      </c>
      <c r="Z202">
        <v>6.4</v>
      </c>
      <c r="AA202">
        <v>0</v>
      </c>
      <c r="AB202">
        <v>0</v>
      </c>
      <c r="AC202">
        <v>0</v>
      </c>
      <c r="AD202">
        <v>1</v>
      </c>
      <c r="AE202">
        <v>0</v>
      </c>
      <c r="AF202" t="s">
        <v>3</v>
      </c>
      <c r="AG202">
        <v>0.02</v>
      </c>
      <c r="AH202">
        <v>2</v>
      </c>
      <c r="AI202">
        <v>94799883</v>
      </c>
      <c r="AJ202">
        <v>202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ROW(Source!A264)</f>
        <v>264</v>
      </c>
      <c r="B203">
        <v>94799884</v>
      </c>
      <c r="C203">
        <v>94799872</v>
      </c>
      <c r="D203">
        <v>37804065</v>
      </c>
      <c r="E203">
        <v>1</v>
      </c>
      <c r="F203">
        <v>1</v>
      </c>
      <c r="G203">
        <v>1</v>
      </c>
      <c r="H203">
        <v>2</v>
      </c>
      <c r="I203" t="s">
        <v>797</v>
      </c>
      <c r="J203" t="s">
        <v>798</v>
      </c>
      <c r="K203" t="s">
        <v>799</v>
      </c>
      <c r="L203">
        <v>1368</v>
      </c>
      <c r="N203">
        <v>1011</v>
      </c>
      <c r="O203" t="s">
        <v>700</v>
      </c>
      <c r="P203" t="s">
        <v>700</v>
      </c>
      <c r="Q203">
        <v>1</v>
      </c>
      <c r="X203">
        <v>2.41</v>
      </c>
      <c r="Y203">
        <v>0</v>
      </c>
      <c r="Z203">
        <v>2.15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3</v>
      </c>
      <c r="AG203">
        <v>2.41</v>
      </c>
      <c r="AH203">
        <v>2</v>
      </c>
      <c r="AI203">
        <v>94799884</v>
      </c>
      <c r="AJ203">
        <v>203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ROW(Source!A264)</f>
        <v>264</v>
      </c>
      <c r="B204">
        <v>94799885</v>
      </c>
      <c r="C204">
        <v>94799872</v>
      </c>
      <c r="D204">
        <v>37804456</v>
      </c>
      <c r="E204">
        <v>1</v>
      </c>
      <c r="F204">
        <v>1</v>
      </c>
      <c r="G204">
        <v>1</v>
      </c>
      <c r="H204">
        <v>2</v>
      </c>
      <c r="I204" t="s">
        <v>713</v>
      </c>
      <c r="J204" t="s">
        <v>714</v>
      </c>
      <c r="K204" t="s">
        <v>715</v>
      </c>
      <c r="L204">
        <v>1368</v>
      </c>
      <c r="N204">
        <v>1011</v>
      </c>
      <c r="O204" t="s">
        <v>700</v>
      </c>
      <c r="P204" t="s">
        <v>700</v>
      </c>
      <c r="Q204">
        <v>1</v>
      </c>
      <c r="X204">
        <v>0.5</v>
      </c>
      <c r="Y204">
        <v>0</v>
      </c>
      <c r="Z204">
        <v>91.76</v>
      </c>
      <c r="AA204">
        <v>10.35</v>
      </c>
      <c r="AB204">
        <v>0</v>
      </c>
      <c r="AC204">
        <v>0</v>
      </c>
      <c r="AD204">
        <v>1</v>
      </c>
      <c r="AE204">
        <v>0</v>
      </c>
      <c r="AF204" t="s">
        <v>3</v>
      </c>
      <c r="AG204">
        <v>0.5</v>
      </c>
      <c r="AH204">
        <v>2</v>
      </c>
      <c r="AI204">
        <v>94799885</v>
      </c>
      <c r="AJ204">
        <v>204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ROW(Source!A264)</f>
        <v>264</v>
      </c>
      <c r="B205">
        <v>94799886</v>
      </c>
      <c r="C205">
        <v>94799872</v>
      </c>
      <c r="D205">
        <v>37730053</v>
      </c>
      <c r="E205">
        <v>1</v>
      </c>
      <c r="F205">
        <v>1</v>
      </c>
      <c r="G205">
        <v>1</v>
      </c>
      <c r="H205">
        <v>3</v>
      </c>
      <c r="I205" t="s">
        <v>839</v>
      </c>
      <c r="J205" t="s">
        <v>840</v>
      </c>
      <c r="K205" t="s">
        <v>841</v>
      </c>
      <c r="L205">
        <v>1348</v>
      </c>
      <c r="N205">
        <v>1009</v>
      </c>
      <c r="O205" t="s">
        <v>170</v>
      </c>
      <c r="P205" t="s">
        <v>170</v>
      </c>
      <c r="Q205">
        <v>1000</v>
      </c>
      <c r="X205">
        <v>1.4999999999999999E-4</v>
      </c>
      <c r="Y205">
        <v>37900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3</v>
      </c>
      <c r="AG205">
        <v>1.4999999999999999E-4</v>
      </c>
      <c r="AH205">
        <v>2</v>
      </c>
      <c r="AI205">
        <v>94799886</v>
      </c>
      <c r="AJ205">
        <v>205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ROW(Source!A264)</f>
        <v>264</v>
      </c>
      <c r="B206">
        <v>94799887</v>
      </c>
      <c r="C206">
        <v>94799872</v>
      </c>
      <c r="D206">
        <v>37729659</v>
      </c>
      <c r="E206">
        <v>1</v>
      </c>
      <c r="F206">
        <v>1</v>
      </c>
      <c r="G206">
        <v>1</v>
      </c>
      <c r="H206">
        <v>3</v>
      </c>
      <c r="I206" t="s">
        <v>187</v>
      </c>
      <c r="J206" t="s">
        <v>189</v>
      </c>
      <c r="K206" t="s">
        <v>188</v>
      </c>
      <c r="L206">
        <v>1339</v>
      </c>
      <c r="N206">
        <v>1007</v>
      </c>
      <c r="O206" t="s">
        <v>52</v>
      </c>
      <c r="P206" t="s">
        <v>52</v>
      </c>
      <c r="Q206">
        <v>1</v>
      </c>
      <c r="X206">
        <v>2.98</v>
      </c>
      <c r="Y206">
        <v>6.22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3</v>
      </c>
      <c r="AG206">
        <v>2.98</v>
      </c>
      <c r="AH206">
        <v>2</v>
      </c>
      <c r="AI206">
        <v>94799887</v>
      </c>
      <c r="AJ206">
        <v>206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ROW(Source!A264)</f>
        <v>264</v>
      </c>
      <c r="B207">
        <v>94799888</v>
      </c>
      <c r="C207">
        <v>94799872</v>
      </c>
      <c r="D207">
        <v>37736264</v>
      </c>
      <c r="E207">
        <v>1</v>
      </c>
      <c r="F207">
        <v>1</v>
      </c>
      <c r="G207">
        <v>1</v>
      </c>
      <c r="H207">
        <v>3</v>
      </c>
      <c r="I207" t="s">
        <v>842</v>
      </c>
      <c r="J207" t="s">
        <v>843</v>
      </c>
      <c r="K207" t="s">
        <v>844</v>
      </c>
      <c r="L207">
        <v>1348</v>
      </c>
      <c r="N207">
        <v>1009</v>
      </c>
      <c r="O207" t="s">
        <v>170</v>
      </c>
      <c r="P207" t="s">
        <v>170</v>
      </c>
      <c r="Q207">
        <v>1000</v>
      </c>
      <c r="X207">
        <v>4.0000000000000003E-5</v>
      </c>
      <c r="Y207">
        <v>4455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3</v>
      </c>
      <c r="AG207">
        <v>4.0000000000000003E-5</v>
      </c>
      <c r="AH207">
        <v>2</v>
      </c>
      <c r="AI207">
        <v>94799888</v>
      </c>
      <c r="AJ207">
        <v>207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ROW(Source!A264)</f>
        <v>264</v>
      </c>
      <c r="B208">
        <v>94799889</v>
      </c>
      <c r="C208">
        <v>94799872</v>
      </c>
      <c r="D208">
        <v>37736447</v>
      </c>
      <c r="E208">
        <v>1</v>
      </c>
      <c r="F208">
        <v>1</v>
      </c>
      <c r="G208">
        <v>1</v>
      </c>
      <c r="H208">
        <v>3</v>
      </c>
      <c r="I208" t="s">
        <v>845</v>
      </c>
      <c r="J208" t="s">
        <v>846</v>
      </c>
      <c r="K208" t="s">
        <v>847</v>
      </c>
      <c r="L208">
        <v>1348</v>
      </c>
      <c r="N208">
        <v>1009</v>
      </c>
      <c r="O208" t="s">
        <v>170</v>
      </c>
      <c r="P208" t="s">
        <v>170</v>
      </c>
      <c r="Q208">
        <v>1000</v>
      </c>
      <c r="X208">
        <v>2.97E-3</v>
      </c>
      <c r="Y208">
        <v>5191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3</v>
      </c>
      <c r="AG208">
        <v>2.97E-3</v>
      </c>
      <c r="AH208">
        <v>2</v>
      </c>
      <c r="AI208">
        <v>94799889</v>
      </c>
      <c r="AJ208">
        <v>208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ROW(Source!A264)</f>
        <v>264</v>
      </c>
      <c r="B209">
        <v>94799890</v>
      </c>
      <c r="C209">
        <v>94799872</v>
      </c>
      <c r="D209">
        <v>37736609</v>
      </c>
      <c r="E209">
        <v>1</v>
      </c>
      <c r="F209">
        <v>1</v>
      </c>
      <c r="G209">
        <v>1</v>
      </c>
      <c r="H209">
        <v>3</v>
      </c>
      <c r="I209" t="s">
        <v>912</v>
      </c>
      <c r="J209" t="s">
        <v>913</v>
      </c>
      <c r="K209" t="s">
        <v>914</v>
      </c>
      <c r="L209">
        <v>1348</v>
      </c>
      <c r="N209">
        <v>1009</v>
      </c>
      <c r="O209" t="s">
        <v>170</v>
      </c>
      <c r="P209" t="s">
        <v>170</v>
      </c>
      <c r="Q209">
        <v>1000</v>
      </c>
      <c r="X209">
        <v>3.3999999999999998E-3</v>
      </c>
      <c r="Y209">
        <v>9750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3</v>
      </c>
      <c r="AG209">
        <v>3.3999999999999998E-3</v>
      </c>
      <c r="AH209">
        <v>2</v>
      </c>
      <c r="AI209">
        <v>94799890</v>
      </c>
      <c r="AJ209">
        <v>209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ROW(Source!A264)</f>
        <v>264</v>
      </c>
      <c r="B210">
        <v>94799891</v>
      </c>
      <c r="C210">
        <v>94799872</v>
      </c>
      <c r="D210">
        <v>37736859</v>
      </c>
      <c r="E210">
        <v>1</v>
      </c>
      <c r="F210">
        <v>1</v>
      </c>
      <c r="G210">
        <v>1</v>
      </c>
      <c r="H210">
        <v>3</v>
      </c>
      <c r="I210" t="s">
        <v>252</v>
      </c>
      <c r="J210" t="s">
        <v>254</v>
      </c>
      <c r="K210" t="s">
        <v>253</v>
      </c>
      <c r="L210">
        <v>1348</v>
      </c>
      <c r="N210">
        <v>1009</v>
      </c>
      <c r="O210" t="s">
        <v>170</v>
      </c>
      <c r="P210" t="s">
        <v>170</v>
      </c>
      <c r="Q210">
        <v>1000</v>
      </c>
      <c r="X210">
        <v>7.0000000000000001E-3</v>
      </c>
      <c r="Y210">
        <v>9040.01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3</v>
      </c>
      <c r="AG210">
        <v>7.0000000000000001E-3</v>
      </c>
      <c r="AH210">
        <v>2</v>
      </c>
      <c r="AI210">
        <v>94799891</v>
      </c>
      <c r="AJ210">
        <v>210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ROW(Source!A264)</f>
        <v>264</v>
      </c>
      <c r="B211">
        <v>94799892</v>
      </c>
      <c r="C211">
        <v>94799872</v>
      </c>
      <c r="D211">
        <v>37736933</v>
      </c>
      <c r="E211">
        <v>1</v>
      </c>
      <c r="F211">
        <v>1</v>
      </c>
      <c r="G211">
        <v>1</v>
      </c>
      <c r="H211">
        <v>3</v>
      </c>
      <c r="I211" t="s">
        <v>851</v>
      </c>
      <c r="J211" t="s">
        <v>852</v>
      </c>
      <c r="K211" t="s">
        <v>853</v>
      </c>
      <c r="L211">
        <v>1348</v>
      </c>
      <c r="N211">
        <v>1009</v>
      </c>
      <c r="O211" t="s">
        <v>170</v>
      </c>
      <c r="P211" t="s">
        <v>170</v>
      </c>
      <c r="Q211">
        <v>1000</v>
      </c>
      <c r="X211">
        <v>2.0000000000000002E-5</v>
      </c>
      <c r="Y211">
        <v>12936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3</v>
      </c>
      <c r="AG211">
        <v>2.0000000000000002E-5</v>
      </c>
      <c r="AH211">
        <v>2</v>
      </c>
      <c r="AI211">
        <v>94799892</v>
      </c>
      <c r="AJ211">
        <v>211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ROW(Source!A264)</f>
        <v>264</v>
      </c>
      <c r="B212">
        <v>94799893</v>
      </c>
      <c r="C212">
        <v>94799872</v>
      </c>
      <c r="D212">
        <v>37729662</v>
      </c>
      <c r="E212">
        <v>1</v>
      </c>
      <c r="F212">
        <v>1</v>
      </c>
      <c r="G212">
        <v>1</v>
      </c>
      <c r="H212">
        <v>3</v>
      </c>
      <c r="I212" t="s">
        <v>812</v>
      </c>
      <c r="J212" t="s">
        <v>813</v>
      </c>
      <c r="K212" t="s">
        <v>814</v>
      </c>
      <c r="L212">
        <v>1346</v>
      </c>
      <c r="N212">
        <v>1009</v>
      </c>
      <c r="O212" t="s">
        <v>192</v>
      </c>
      <c r="P212" t="s">
        <v>192</v>
      </c>
      <c r="Q212">
        <v>1</v>
      </c>
      <c r="X212">
        <v>0.90300000000000002</v>
      </c>
      <c r="Y212">
        <v>6.62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3</v>
      </c>
      <c r="AG212">
        <v>0.90300000000000002</v>
      </c>
      <c r="AH212">
        <v>2</v>
      </c>
      <c r="AI212">
        <v>94799893</v>
      </c>
      <c r="AJ212">
        <v>212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ROW(Source!A264)</f>
        <v>264</v>
      </c>
      <c r="B213">
        <v>94799894</v>
      </c>
      <c r="C213">
        <v>94799872</v>
      </c>
      <c r="D213">
        <v>37732807</v>
      </c>
      <c r="E213">
        <v>1</v>
      </c>
      <c r="F213">
        <v>1</v>
      </c>
      <c r="G213">
        <v>1</v>
      </c>
      <c r="H213">
        <v>3</v>
      </c>
      <c r="I213" t="s">
        <v>854</v>
      </c>
      <c r="J213" t="s">
        <v>855</v>
      </c>
      <c r="K213" t="s">
        <v>856</v>
      </c>
      <c r="L213">
        <v>1348</v>
      </c>
      <c r="N213">
        <v>1009</v>
      </c>
      <c r="O213" t="s">
        <v>170</v>
      </c>
      <c r="P213" t="s">
        <v>170</v>
      </c>
      <c r="Q213">
        <v>1000</v>
      </c>
      <c r="X213">
        <v>9.0000000000000006E-5</v>
      </c>
      <c r="Y213">
        <v>9420</v>
      </c>
      <c r="Z213">
        <v>0</v>
      </c>
      <c r="AA213">
        <v>0</v>
      </c>
      <c r="AB213">
        <v>0</v>
      </c>
      <c r="AC213">
        <v>0</v>
      </c>
      <c r="AD213">
        <v>1</v>
      </c>
      <c r="AE213">
        <v>0</v>
      </c>
      <c r="AF213" t="s">
        <v>3</v>
      </c>
      <c r="AG213">
        <v>9.0000000000000006E-5</v>
      </c>
      <c r="AH213">
        <v>2</v>
      </c>
      <c r="AI213">
        <v>94799894</v>
      </c>
      <c r="AJ213">
        <v>213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ROW(Source!A264)</f>
        <v>264</v>
      </c>
      <c r="B214">
        <v>94799895</v>
      </c>
      <c r="C214">
        <v>94799872</v>
      </c>
      <c r="D214">
        <v>37735514</v>
      </c>
      <c r="E214">
        <v>1</v>
      </c>
      <c r="F214">
        <v>1</v>
      </c>
      <c r="G214">
        <v>1</v>
      </c>
      <c r="H214">
        <v>3</v>
      </c>
      <c r="I214" t="s">
        <v>376</v>
      </c>
      <c r="J214" t="s">
        <v>378</v>
      </c>
      <c r="K214" t="s">
        <v>377</v>
      </c>
      <c r="L214">
        <v>1348</v>
      </c>
      <c r="N214">
        <v>1009</v>
      </c>
      <c r="O214" t="s">
        <v>170</v>
      </c>
      <c r="P214" t="s">
        <v>170</v>
      </c>
      <c r="Q214">
        <v>1000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1</v>
      </c>
      <c r="AD214">
        <v>0</v>
      </c>
      <c r="AE214">
        <v>0</v>
      </c>
      <c r="AF214" t="s">
        <v>3</v>
      </c>
      <c r="AG214">
        <v>0</v>
      </c>
      <c r="AH214">
        <v>2</v>
      </c>
      <c r="AI214">
        <v>94799895</v>
      </c>
      <c r="AJ214">
        <v>214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ROW(Source!A264)</f>
        <v>264</v>
      </c>
      <c r="B215">
        <v>94799896</v>
      </c>
      <c r="C215">
        <v>94799872</v>
      </c>
      <c r="D215">
        <v>37735329</v>
      </c>
      <c r="E215">
        <v>1</v>
      </c>
      <c r="F215">
        <v>1</v>
      </c>
      <c r="G215">
        <v>1</v>
      </c>
      <c r="H215">
        <v>3</v>
      </c>
      <c r="I215" t="s">
        <v>380</v>
      </c>
      <c r="J215" t="s">
        <v>382</v>
      </c>
      <c r="K215" t="s">
        <v>381</v>
      </c>
      <c r="L215">
        <v>1348</v>
      </c>
      <c r="N215">
        <v>1009</v>
      </c>
      <c r="O215" t="s">
        <v>170</v>
      </c>
      <c r="P215" t="s">
        <v>170</v>
      </c>
      <c r="Q215">
        <v>1000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1</v>
      </c>
      <c r="AD215">
        <v>0</v>
      </c>
      <c r="AE215">
        <v>0</v>
      </c>
      <c r="AF215" t="s">
        <v>3</v>
      </c>
      <c r="AG215">
        <v>0</v>
      </c>
      <c r="AH215">
        <v>2</v>
      </c>
      <c r="AI215">
        <v>94799896</v>
      </c>
      <c r="AJ215">
        <v>215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ROW(Source!A264)</f>
        <v>264</v>
      </c>
      <c r="B216">
        <v>94799897</v>
      </c>
      <c r="C216">
        <v>94799872</v>
      </c>
      <c r="D216">
        <v>37738047</v>
      </c>
      <c r="E216">
        <v>1</v>
      </c>
      <c r="F216">
        <v>1</v>
      </c>
      <c r="G216">
        <v>1</v>
      </c>
      <c r="H216">
        <v>3</v>
      </c>
      <c r="I216" t="s">
        <v>857</v>
      </c>
      <c r="J216" t="s">
        <v>858</v>
      </c>
      <c r="K216" t="s">
        <v>859</v>
      </c>
      <c r="L216">
        <v>1339</v>
      </c>
      <c r="N216">
        <v>1007</v>
      </c>
      <c r="O216" t="s">
        <v>52</v>
      </c>
      <c r="P216" t="s">
        <v>52</v>
      </c>
      <c r="Q216">
        <v>1</v>
      </c>
      <c r="X216">
        <v>1.2999999999999999E-3</v>
      </c>
      <c r="Y216">
        <v>1421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3</v>
      </c>
      <c r="AG216">
        <v>1.2999999999999999E-3</v>
      </c>
      <c r="AH216">
        <v>2</v>
      </c>
      <c r="AI216">
        <v>94799897</v>
      </c>
      <c r="AJ216">
        <v>216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ROW(Source!A264)</f>
        <v>264</v>
      </c>
      <c r="B217">
        <v>94799898</v>
      </c>
      <c r="C217">
        <v>94799872</v>
      </c>
      <c r="D217">
        <v>37744698</v>
      </c>
      <c r="E217">
        <v>1</v>
      </c>
      <c r="F217">
        <v>1</v>
      </c>
      <c r="G217">
        <v>1</v>
      </c>
      <c r="H217">
        <v>3</v>
      </c>
      <c r="I217" t="s">
        <v>178</v>
      </c>
      <c r="J217" t="s">
        <v>180</v>
      </c>
      <c r="K217" t="s">
        <v>179</v>
      </c>
      <c r="L217">
        <v>1348</v>
      </c>
      <c r="N217">
        <v>1009</v>
      </c>
      <c r="O217" t="s">
        <v>170</v>
      </c>
      <c r="P217" t="s">
        <v>170</v>
      </c>
      <c r="Q217">
        <v>1000</v>
      </c>
      <c r="X217">
        <v>4.6999999999999999E-4</v>
      </c>
      <c r="Y217">
        <v>15620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 t="s">
        <v>3</v>
      </c>
      <c r="AG217">
        <v>4.6999999999999999E-4</v>
      </c>
      <c r="AH217">
        <v>2</v>
      </c>
      <c r="AI217">
        <v>94799898</v>
      </c>
      <c r="AJ217">
        <v>217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ROW(Source!A264)</f>
        <v>264</v>
      </c>
      <c r="B218">
        <v>94799899</v>
      </c>
      <c r="C218">
        <v>94799872</v>
      </c>
      <c r="D218">
        <v>37751308</v>
      </c>
      <c r="E218">
        <v>1</v>
      </c>
      <c r="F218">
        <v>1</v>
      </c>
      <c r="G218">
        <v>1</v>
      </c>
      <c r="H218">
        <v>3</v>
      </c>
      <c r="I218" t="s">
        <v>860</v>
      </c>
      <c r="J218" t="s">
        <v>861</v>
      </c>
      <c r="K218" t="s">
        <v>862</v>
      </c>
      <c r="L218">
        <v>1348</v>
      </c>
      <c r="N218">
        <v>1009</v>
      </c>
      <c r="O218" t="s">
        <v>170</v>
      </c>
      <c r="P218" t="s">
        <v>170</v>
      </c>
      <c r="Q218">
        <v>1000</v>
      </c>
      <c r="X218">
        <v>1.9E-2</v>
      </c>
      <c r="Y218">
        <v>7712</v>
      </c>
      <c r="Z218">
        <v>0</v>
      </c>
      <c r="AA218">
        <v>0</v>
      </c>
      <c r="AB218">
        <v>0</v>
      </c>
      <c r="AC218">
        <v>0</v>
      </c>
      <c r="AD218">
        <v>1</v>
      </c>
      <c r="AE218">
        <v>0</v>
      </c>
      <c r="AF218" t="s">
        <v>3</v>
      </c>
      <c r="AG218">
        <v>1.9E-2</v>
      </c>
      <c r="AH218">
        <v>2</v>
      </c>
      <c r="AI218">
        <v>94799899</v>
      </c>
      <c r="AJ218">
        <v>218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ROW(Source!A264)</f>
        <v>264</v>
      </c>
      <c r="B219">
        <v>94799900</v>
      </c>
      <c r="C219">
        <v>94799872</v>
      </c>
      <c r="D219">
        <v>37750155</v>
      </c>
      <c r="E219">
        <v>1</v>
      </c>
      <c r="F219">
        <v>1</v>
      </c>
      <c r="G219">
        <v>1</v>
      </c>
      <c r="H219">
        <v>3</v>
      </c>
      <c r="I219" t="s">
        <v>384</v>
      </c>
      <c r="J219" t="s">
        <v>386</v>
      </c>
      <c r="K219" t="s">
        <v>385</v>
      </c>
      <c r="L219">
        <v>1348</v>
      </c>
      <c r="N219">
        <v>1009</v>
      </c>
      <c r="O219" t="s">
        <v>170</v>
      </c>
      <c r="P219" t="s">
        <v>170</v>
      </c>
      <c r="Q219">
        <v>1000</v>
      </c>
      <c r="X219">
        <v>5.7799999999999997E-2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 t="s">
        <v>3</v>
      </c>
      <c r="AG219">
        <v>5.7799999999999997E-2</v>
      </c>
      <c r="AH219">
        <v>2</v>
      </c>
      <c r="AI219">
        <v>94799900</v>
      </c>
      <c r="AJ219">
        <v>219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ROW(Source!A264)</f>
        <v>264</v>
      </c>
      <c r="B220">
        <v>94799901</v>
      </c>
      <c r="C220">
        <v>94799872</v>
      </c>
      <c r="D220">
        <v>37790931</v>
      </c>
      <c r="E220">
        <v>1</v>
      </c>
      <c r="F220">
        <v>1</v>
      </c>
      <c r="G220">
        <v>1</v>
      </c>
      <c r="H220">
        <v>3</v>
      </c>
      <c r="I220" t="s">
        <v>863</v>
      </c>
      <c r="J220" t="s">
        <v>864</v>
      </c>
      <c r="K220" t="s">
        <v>865</v>
      </c>
      <c r="L220">
        <v>1302</v>
      </c>
      <c r="N220">
        <v>1003</v>
      </c>
      <c r="O220" t="s">
        <v>866</v>
      </c>
      <c r="P220" t="s">
        <v>866</v>
      </c>
      <c r="Q220">
        <v>10</v>
      </c>
      <c r="X220">
        <v>1.6E-2</v>
      </c>
      <c r="Y220">
        <v>71.5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3</v>
      </c>
      <c r="AG220">
        <v>1.6E-2</v>
      </c>
      <c r="AH220">
        <v>2</v>
      </c>
      <c r="AI220">
        <v>94799901</v>
      </c>
      <c r="AJ220">
        <v>220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ROW(Source!A270)</f>
        <v>270</v>
      </c>
      <c r="B221">
        <v>94799908</v>
      </c>
      <c r="C221">
        <v>94799907</v>
      </c>
      <c r="D221">
        <v>23146501</v>
      </c>
      <c r="E221">
        <v>1</v>
      </c>
      <c r="F221">
        <v>1</v>
      </c>
      <c r="G221">
        <v>1</v>
      </c>
      <c r="H221">
        <v>1</v>
      </c>
      <c r="I221" t="s">
        <v>926</v>
      </c>
      <c r="J221" t="s">
        <v>3</v>
      </c>
      <c r="K221" t="s">
        <v>927</v>
      </c>
      <c r="L221">
        <v>1369</v>
      </c>
      <c r="N221">
        <v>1013</v>
      </c>
      <c r="O221" t="s">
        <v>696</v>
      </c>
      <c r="P221" t="s">
        <v>696</v>
      </c>
      <c r="Q221">
        <v>1</v>
      </c>
      <c r="X221">
        <v>5.31</v>
      </c>
      <c r="Y221">
        <v>0</v>
      </c>
      <c r="Z221">
        <v>0</v>
      </c>
      <c r="AA221">
        <v>0</v>
      </c>
      <c r="AB221">
        <v>9.9499999999999993</v>
      </c>
      <c r="AC221">
        <v>0</v>
      </c>
      <c r="AD221">
        <v>1</v>
      </c>
      <c r="AE221">
        <v>1</v>
      </c>
      <c r="AF221" t="s">
        <v>3</v>
      </c>
      <c r="AG221">
        <v>5.31</v>
      </c>
      <c r="AH221">
        <v>2</v>
      </c>
      <c r="AI221">
        <v>94799908</v>
      </c>
      <c r="AJ221">
        <v>221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ROW(Source!A270)</f>
        <v>270</v>
      </c>
      <c r="B222">
        <v>94799909</v>
      </c>
      <c r="C222">
        <v>94799907</v>
      </c>
      <c r="D222">
        <v>121548</v>
      </c>
      <c r="E222">
        <v>1</v>
      </c>
      <c r="F222">
        <v>1</v>
      </c>
      <c r="G222">
        <v>1</v>
      </c>
      <c r="H222">
        <v>1</v>
      </c>
      <c r="I222" t="s">
        <v>28</v>
      </c>
      <c r="J222" t="s">
        <v>3</v>
      </c>
      <c r="K222" t="s">
        <v>705</v>
      </c>
      <c r="L222">
        <v>608254</v>
      </c>
      <c r="N222">
        <v>1013</v>
      </c>
      <c r="O222" t="s">
        <v>706</v>
      </c>
      <c r="P222" t="s">
        <v>706</v>
      </c>
      <c r="Q222">
        <v>1</v>
      </c>
      <c r="X222">
        <v>0.01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1</v>
      </c>
      <c r="AE222">
        <v>2</v>
      </c>
      <c r="AF222" t="s">
        <v>3</v>
      </c>
      <c r="AG222">
        <v>0.01</v>
      </c>
      <c r="AH222">
        <v>2</v>
      </c>
      <c r="AI222">
        <v>94799909</v>
      </c>
      <c r="AJ222">
        <v>222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ROW(Source!A270)</f>
        <v>270</v>
      </c>
      <c r="B223">
        <v>94799910</v>
      </c>
      <c r="C223">
        <v>94799907</v>
      </c>
      <c r="D223">
        <v>37802515</v>
      </c>
      <c r="E223">
        <v>1</v>
      </c>
      <c r="F223">
        <v>1</v>
      </c>
      <c r="G223">
        <v>1</v>
      </c>
      <c r="H223">
        <v>2</v>
      </c>
      <c r="I223" t="s">
        <v>774</v>
      </c>
      <c r="J223" t="s">
        <v>775</v>
      </c>
      <c r="K223" t="s">
        <v>776</v>
      </c>
      <c r="L223">
        <v>1368</v>
      </c>
      <c r="N223">
        <v>1011</v>
      </c>
      <c r="O223" t="s">
        <v>700</v>
      </c>
      <c r="P223" t="s">
        <v>700</v>
      </c>
      <c r="Q223">
        <v>1</v>
      </c>
      <c r="X223">
        <v>0.01</v>
      </c>
      <c r="Y223">
        <v>0</v>
      </c>
      <c r="Z223">
        <v>87.24</v>
      </c>
      <c r="AA223">
        <v>9</v>
      </c>
      <c r="AB223">
        <v>0</v>
      </c>
      <c r="AC223">
        <v>0</v>
      </c>
      <c r="AD223">
        <v>1</v>
      </c>
      <c r="AE223">
        <v>0</v>
      </c>
      <c r="AF223" t="s">
        <v>3</v>
      </c>
      <c r="AG223">
        <v>0.01</v>
      </c>
      <c r="AH223">
        <v>2</v>
      </c>
      <c r="AI223">
        <v>94799910</v>
      </c>
      <c r="AJ223">
        <v>223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ROW(Source!A270)</f>
        <v>270</v>
      </c>
      <c r="B224">
        <v>94799911</v>
      </c>
      <c r="C224">
        <v>94799907</v>
      </c>
      <c r="D224">
        <v>37802541</v>
      </c>
      <c r="E224">
        <v>1</v>
      </c>
      <c r="F224">
        <v>1</v>
      </c>
      <c r="G224">
        <v>1</v>
      </c>
      <c r="H224">
        <v>2</v>
      </c>
      <c r="I224" t="s">
        <v>830</v>
      </c>
      <c r="J224" t="s">
        <v>831</v>
      </c>
      <c r="K224" t="s">
        <v>832</v>
      </c>
      <c r="L224">
        <v>1368</v>
      </c>
      <c r="N224">
        <v>1011</v>
      </c>
      <c r="O224" t="s">
        <v>700</v>
      </c>
      <c r="P224" t="s">
        <v>700</v>
      </c>
      <c r="Q224">
        <v>1</v>
      </c>
      <c r="X224">
        <v>0.01</v>
      </c>
      <c r="Y224">
        <v>0</v>
      </c>
      <c r="Z224">
        <v>1.85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3</v>
      </c>
      <c r="AG224">
        <v>0.01</v>
      </c>
      <c r="AH224">
        <v>2</v>
      </c>
      <c r="AI224">
        <v>94799911</v>
      </c>
      <c r="AJ224">
        <v>224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ROW(Source!A270)</f>
        <v>270</v>
      </c>
      <c r="B225">
        <v>94799912</v>
      </c>
      <c r="C225">
        <v>94799907</v>
      </c>
      <c r="D225">
        <v>37804211</v>
      </c>
      <c r="E225">
        <v>1</v>
      </c>
      <c r="F225">
        <v>1</v>
      </c>
      <c r="G225">
        <v>1</v>
      </c>
      <c r="H225">
        <v>2</v>
      </c>
      <c r="I225" t="s">
        <v>928</v>
      </c>
      <c r="J225" t="s">
        <v>929</v>
      </c>
      <c r="K225" t="s">
        <v>930</v>
      </c>
      <c r="L225">
        <v>1368</v>
      </c>
      <c r="N225">
        <v>1011</v>
      </c>
      <c r="O225" t="s">
        <v>700</v>
      </c>
      <c r="P225" t="s">
        <v>700</v>
      </c>
      <c r="Q225">
        <v>1</v>
      </c>
      <c r="X225">
        <v>1.1200000000000001</v>
      </c>
      <c r="Y225">
        <v>0</v>
      </c>
      <c r="Z225">
        <v>7.52</v>
      </c>
      <c r="AA225">
        <v>0</v>
      </c>
      <c r="AB225">
        <v>0</v>
      </c>
      <c r="AC225">
        <v>0</v>
      </c>
      <c r="AD225">
        <v>1</v>
      </c>
      <c r="AE225">
        <v>0</v>
      </c>
      <c r="AF225" t="s">
        <v>3</v>
      </c>
      <c r="AG225">
        <v>1.1200000000000001</v>
      </c>
      <c r="AH225">
        <v>2</v>
      </c>
      <c r="AI225">
        <v>94799912</v>
      </c>
      <c r="AJ225">
        <v>225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ROW(Source!A270)</f>
        <v>270</v>
      </c>
      <c r="B226">
        <v>94799913</v>
      </c>
      <c r="C226">
        <v>94799907</v>
      </c>
      <c r="D226">
        <v>37804456</v>
      </c>
      <c r="E226">
        <v>1</v>
      </c>
      <c r="F226">
        <v>1</v>
      </c>
      <c r="G226">
        <v>1</v>
      </c>
      <c r="H226">
        <v>2</v>
      </c>
      <c r="I226" t="s">
        <v>713</v>
      </c>
      <c r="J226" t="s">
        <v>714</v>
      </c>
      <c r="K226" t="s">
        <v>715</v>
      </c>
      <c r="L226">
        <v>1368</v>
      </c>
      <c r="N226">
        <v>1011</v>
      </c>
      <c r="O226" t="s">
        <v>700</v>
      </c>
      <c r="P226" t="s">
        <v>700</v>
      </c>
      <c r="Q226">
        <v>1</v>
      </c>
      <c r="X226">
        <v>0.01</v>
      </c>
      <c r="Y226">
        <v>0</v>
      </c>
      <c r="Z226">
        <v>91.76</v>
      </c>
      <c r="AA226">
        <v>10.35</v>
      </c>
      <c r="AB226">
        <v>0</v>
      </c>
      <c r="AC226">
        <v>0</v>
      </c>
      <c r="AD226">
        <v>1</v>
      </c>
      <c r="AE226">
        <v>0</v>
      </c>
      <c r="AF226" t="s">
        <v>3</v>
      </c>
      <c r="AG226">
        <v>0.01</v>
      </c>
      <c r="AH226">
        <v>2</v>
      </c>
      <c r="AI226">
        <v>94799913</v>
      </c>
      <c r="AJ226">
        <v>226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ROW(Source!A270)</f>
        <v>270</v>
      </c>
      <c r="B227">
        <v>94799914</v>
      </c>
      <c r="C227">
        <v>94799907</v>
      </c>
      <c r="D227">
        <v>37744698</v>
      </c>
      <c r="E227">
        <v>1</v>
      </c>
      <c r="F227">
        <v>1</v>
      </c>
      <c r="G227">
        <v>1</v>
      </c>
      <c r="H227">
        <v>3</v>
      </c>
      <c r="I227" t="s">
        <v>178</v>
      </c>
      <c r="J227" t="s">
        <v>180</v>
      </c>
      <c r="K227" t="s">
        <v>179</v>
      </c>
      <c r="L227">
        <v>1348</v>
      </c>
      <c r="N227">
        <v>1009</v>
      </c>
      <c r="O227" t="s">
        <v>170</v>
      </c>
      <c r="P227" t="s">
        <v>170</v>
      </c>
      <c r="Q227">
        <v>1000</v>
      </c>
      <c r="X227">
        <v>1.2E-2</v>
      </c>
      <c r="Y227">
        <v>15620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3</v>
      </c>
      <c r="AG227">
        <v>1.2E-2</v>
      </c>
      <c r="AH227">
        <v>2</v>
      </c>
      <c r="AI227">
        <v>94799914</v>
      </c>
      <c r="AJ227">
        <v>227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ROW(Source!A270)</f>
        <v>270</v>
      </c>
      <c r="B228">
        <v>94799915</v>
      </c>
      <c r="C228">
        <v>94799907</v>
      </c>
      <c r="D228">
        <v>37745090</v>
      </c>
      <c r="E228">
        <v>1</v>
      </c>
      <c r="F228">
        <v>1</v>
      </c>
      <c r="G228">
        <v>1</v>
      </c>
      <c r="H228">
        <v>3</v>
      </c>
      <c r="I228" t="s">
        <v>931</v>
      </c>
      <c r="J228" t="s">
        <v>932</v>
      </c>
      <c r="K228" t="s">
        <v>933</v>
      </c>
      <c r="L228">
        <v>1348</v>
      </c>
      <c r="N228">
        <v>1009</v>
      </c>
      <c r="O228" t="s">
        <v>170</v>
      </c>
      <c r="P228" t="s">
        <v>170</v>
      </c>
      <c r="Q228">
        <v>1000</v>
      </c>
      <c r="X228">
        <v>2E-3</v>
      </c>
      <c r="Y228">
        <v>7640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0</v>
      </c>
      <c r="AF228" t="s">
        <v>3</v>
      </c>
      <c r="AG228">
        <v>2E-3</v>
      </c>
      <c r="AH228">
        <v>2</v>
      </c>
      <c r="AI228">
        <v>94799915</v>
      </c>
      <c r="AJ228">
        <v>228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ROW(Source!A315)</f>
        <v>315</v>
      </c>
      <c r="B229">
        <v>94799917</v>
      </c>
      <c r="C229">
        <v>94799916</v>
      </c>
      <c r="D229">
        <v>23129555</v>
      </c>
      <c r="E229">
        <v>1</v>
      </c>
      <c r="F229">
        <v>1</v>
      </c>
      <c r="G229">
        <v>1</v>
      </c>
      <c r="H229">
        <v>1</v>
      </c>
      <c r="I229" t="s">
        <v>701</v>
      </c>
      <c r="J229" t="s">
        <v>3</v>
      </c>
      <c r="K229" t="s">
        <v>702</v>
      </c>
      <c r="L229">
        <v>1369</v>
      </c>
      <c r="N229">
        <v>1013</v>
      </c>
      <c r="O229" t="s">
        <v>696</v>
      </c>
      <c r="P229" t="s">
        <v>696</v>
      </c>
      <c r="Q229">
        <v>1</v>
      </c>
      <c r="X229">
        <v>180</v>
      </c>
      <c r="Y229">
        <v>0</v>
      </c>
      <c r="Z229">
        <v>0</v>
      </c>
      <c r="AA229">
        <v>0</v>
      </c>
      <c r="AB229">
        <v>7.29</v>
      </c>
      <c r="AC229">
        <v>0</v>
      </c>
      <c r="AD229">
        <v>1</v>
      </c>
      <c r="AE229">
        <v>1</v>
      </c>
      <c r="AF229" t="s">
        <v>3</v>
      </c>
      <c r="AG229">
        <v>180</v>
      </c>
      <c r="AH229">
        <v>2</v>
      </c>
      <c r="AI229">
        <v>94799917</v>
      </c>
      <c r="AJ229">
        <v>229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ROW(Source!A315)</f>
        <v>315</v>
      </c>
      <c r="B230">
        <v>94799918</v>
      </c>
      <c r="C230">
        <v>94799916</v>
      </c>
      <c r="D230">
        <v>121548</v>
      </c>
      <c r="E230">
        <v>1</v>
      </c>
      <c r="F230">
        <v>1</v>
      </c>
      <c r="G230">
        <v>1</v>
      </c>
      <c r="H230">
        <v>1</v>
      </c>
      <c r="I230" t="s">
        <v>28</v>
      </c>
      <c r="J230" t="s">
        <v>3</v>
      </c>
      <c r="K230" t="s">
        <v>705</v>
      </c>
      <c r="L230">
        <v>608254</v>
      </c>
      <c r="N230">
        <v>1013</v>
      </c>
      <c r="O230" t="s">
        <v>706</v>
      </c>
      <c r="P230" t="s">
        <v>706</v>
      </c>
      <c r="Q230">
        <v>1</v>
      </c>
      <c r="X230">
        <v>18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2</v>
      </c>
      <c r="AF230" t="s">
        <v>3</v>
      </c>
      <c r="AG230">
        <v>18</v>
      </c>
      <c r="AH230">
        <v>2</v>
      </c>
      <c r="AI230">
        <v>94799918</v>
      </c>
      <c r="AJ230">
        <v>230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ROW(Source!A315)</f>
        <v>315</v>
      </c>
      <c r="B231">
        <v>94799919</v>
      </c>
      <c r="C231">
        <v>94799916</v>
      </c>
      <c r="D231">
        <v>37802359</v>
      </c>
      <c r="E231">
        <v>1</v>
      </c>
      <c r="F231">
        <v>1</v>
      </c>
      <c r="G231">
        <v>1</v>
      </c>
      <c r="H231">
        <v>2</v>
      </c>
      <c r="I231" t="s">
        <v>886</v>
      </c>
      <c r="J231" t="s">
        <v>887</v>
      </c>
      <c r="K231" t="s">
        <v>888</v>
      </c>
      <c r="L231">
        <v>1368</v>
      </c>
      <c r="N231">
        <v>1011</v>
      </c>
      <c r="O231" t="s">
        <v>700</v>
      </c>
      <c r="P231" t="s">
        <v>700</v>
      </c>
      <c r="Q231">
        <v>1</v>
      </c>
      <c r="X231">
        <v>18</v>
      </c>
      <c r="Y231">
        <v>0</v>
      </c>
      <c r="Z231">
        <v>103.49</v>
      </c>
      <c r="AA231">
        <v>12.1</v>
      </c>
      <c r="AB231">
        <v>0</v>
      </c>
      <c r="AC231">
        <v>0</v>
      </c>
      <c r="AD231">
        <v>1</v>
      </c>
      <c r="AE231">
        <v>0</v>
      </c>
      <c r="AF231" t="s">
        <v>3</v>
      </c>
      <c r="AG231">
        <v>18</v>
      </c>
      <c r="AH231">
        <v>2</v>
      </c>
      <c r="AI231">
        <v>94799919</v>
      </c>
      <c r="AJ231">
        <v>231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ROW(Source!A315)</f>
        <v>315</v>
      </c>
      <c r="B232">
        <v>94799920</v>
      </c>
      <c r="C232">
        <v>94799916</v>
      </c>
      <c r="D232">
        <v>37803001</v>
      </c>
      <c r="E232">
        <v>1</v>
      </c>
      <c r="F232">
        <v>1</v>
      </c>
      <c r="G232">
        <v>1</v>
      </c>
      <c r="H232">
        <v>2</v>
      </c>
      <c r="I232" t="s">
        <v>889</v>
      </c>
      <c r="J232" t="s">
        <v>890</v>
      </c>
      <c r="K232" t="s">
        <v>891</v>
      </c>
      <c r="L232">
        <v>1368</v>
      </c>
      <c r="N232">
        <v>1011</v>
      </c>
      <c r="O232" t="s">
        <v>700</v>
      </c>
      <c r="P232" t="s">
        <v>700</v>
      </c>
      <c r="Q232">
        <v>1</v>
      </c>
      <c r="X232">
        <v>48</v>
      </c>
      <c r="Y232">
        <v>0</v>
      </c>
      <c r="Z232">
        <v>0.66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3</v>
      </c>
      <c r="AG232">
        <v>48</v>
      </c>
      <c r="AH232">
        <v>2</v>
      </c>
      <c r="AI232">
        <v>94799920</v>
      </c>
      <c r="AJ232">
        <v>232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ROW(Source!A315)</f>
        <v>315</v>
      </c>
      <c r="B233">
        <v>94799921</v>
      </c>
      <c r="C233">
        <v>94799916</v>
      </c>
      <c r="D233">
        <v>37804456</v>
      </c>
      <c r="E233">
        <v>1</v>
      </c>
      <c r="F233">
        <v>1</v>
      </c>
      <c r="G233">
        <v>1</v>
      </c>
      <c r="H233">
        <v>2</v>
      </c>
      <c r="I233" t="s">
        <v>713</v>
      </c>
      <c r="J233" t="s">
        <v>714</v>
      </c>
      <c r="K233" t="s">
        <v>715</v>
      </c>
      <c r="L233">
        <v>1368</v>
      </c>
      <c r="N233">
        <v>1011</v>
      </c>
      <c r="O233" t="s">
        <v>700</v>
      </c>
      <c r="P233" t="s">
        <v>700</v>
      </c>
      <c r="Q233">
        <v>1</v>
      </c>
      <c r="X233">
        <v>0.13</v>
      </c>
      <c r="Y233">
        <v>0</v>
      </c>
      <c r="Z233">
        <v>91.76</v>
      </c>
      <c r="AA233">
        <v>10.35</v>
      </c>
      <c r="AB233">
        <v>0</v>
      </c>
      <c r="AC233">
        <v>0</v>
      </c>
      <c r="AD233">
        <v>1</v>
      </c>
      <c r="AE233">
        <v>0</v>
      </c>
      <c r="AF233" t="s">
        <v>3</v>
      </c>
      <c r="AG233">
        <v>0.13</v>
      </c>
      <c r="AH233">
        <v>2</v>
      </c>
      <c r="AI233">
        <v>94799921</v>
      </c>
      <c r="AJ233">
        <v>233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ROW(Source!A315)</f>
        <v>315</v>
      </c>
      <c r="B234">
        <v>94799922</v>
      </c>
      <c r="C234">
        <v>94799916</v>
      </c>
      <c r="D234">
        <v>37730282</v>
      </c>
      <c r="E234">
        <v>1</v>
      </c>
      <c r="F234">
        <v>1</v>
      </c>
      <c r="G234">
        <v>1</v>
      </c>
      <c r="H234">
        <v>3</v>
      </c>
      <c r="I234" t="s">
        <v>892</v>
      </c>
      <c r="J234" t="s">
        <v>893</v>
      </c>
      <c r="K234" t="s">
        <v>894</v>
      </c>
      <c r="L234">
        <v>1327</v>
      </c>
      <c r="N234">
        <v>1005</v>
      </c>
      <c r="O234" t="s">
        <v>201</v>
      </c>
      <c r="P234" t="s">
        <v>201</v>
      </c>
      <c r="Q234">
        <v>1</v>
      </c>
      <c r="X234">
        <v>250</v>
      </c>
      <c r="Y234">
        <v>10.199999999999999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3</v>
      </c>
      <c r="AG234">
        <v>250</v>
      </c>
      <c r="AH234">
        <v>2</v>
      </c>
      <c r="AI234">
        <v>94799922</v>
      </c>
      <c r="AJ234">
        <v>234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ROW(Source!A315)</f>
        <v>315</v>
      </c>
      <c r="B235">
        <v>94799923</v>
      </c>
      <c r="C235">
        <v>94799916</v>
      </c>
      <c r="D235">
        <v>37767859</v>
      </c>
      <c r="E235">
        <v>1</v>
      </c>
      <c r="F235">
        <v>1</v>
      </c>
      <c r="G235">
        <v>1</v>
      </c>
      <c r="H235">
        <v>3</v>
      </c>
      <c r="I235" t="s">
        <v>336</v>
      </c>
      <c r="J235" t="s">
        <v>338</v>
      </c>
      <c r="K235" t="s">
        <v>337</v>
      </c>
      <c r="L235">
        <v>1339</v>
      </c>
      <c r="N235">
        <v>1007</v>
      </c>
      <c r="O235" t="s">
        <v>52</v>
      </c>
      <c r="P235" t="s">
        <v>52</v>
      </c>
      <c r="Q235">
        <v>1</v>
      </c>
      <c r="X235">
        <v>102</v>
      </c>
      <c r="Y235">
        <v>512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3</v>
      </c>
      <c r="AG235">
        <v>102</v>
      </c>
      <c r="AH235">
        <v>2</v>
      </c>
      <c r="AI235">
        <v>94799923</v>
      </c>
      <c r="AJ235">
        <v>235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ROW(Source!A315)</f>
        <v>315</v>
      </c>
      <c r="B236">
        <v>94799924</v>
      </c>
      <c r="C236">
        <v>94799916</v>
      </c>
      <c r="D236">
        <v>37777802</v>
      </c>
      <c r="E236">
        <v>1</v>
      </c>
      <c r="F236">
        <v>1</v>
      </c>
      <c r="G236">
        <v>1</v>
      </c>
      <c r="H236">
        <v>3</v>
      </c>
      <c r="I236" t="s">
        <v>883</v>
      </c>
      <c r="J236" t="s">
        <v>884</v>
      </c>
      <c r="K236" t="s">
        <v>885</v>
      </c>
      <c r="L236">
        <v>1339</v>
      </c>
      <c r="N236">
        <v>1007</v>
      </c>
      <c r="O236" t="s">
        <v>52</v>
      </c>
      <c r="P236" t="s">
        <v>52</v>
      </c>
      <c r="Q236">
        <v>1</v>
      </c>
      <c r="X236">
        <v>0.2</v>
      </c>
      <c r="Y236">
        <v>2.4700000000000002</v>
      </c>
      <c r="Z236">
        <v>0</v>
      </c>
      <c r="AA236">
        <v>0</v>
      </c>
      <c r="AB236">
        <v>0</v>
      </c>
      <c r="AC236">
        <v>0</v>
      </c>
      <c r="AD236">
        <v>1</v>
      </c>
      <c r="AE236">
        <v>0</v>
      </c>
      <c r="AF236" t="s">
        <v>3</v>
      </c>
      <c r="AG236">
        <v>0.2</v>
      </c>
      <c r="AH236">
        <v>2</v>
      </c>
      <c r="AI236">
        <v>94799924</v>
      </c>
      <c r="AJ236">
        <v>236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ROW(Source!A318)</f>
        <v>318</v>
      </c>
      <c r="B237">
        <v>94799718</v>
      </c>
      <c r="C237">
        <v>94799699</v>
      </c>
      <c r="D237">
        <v>23129805</v>
      </c>
      <c r="E237">
        <v>1</v>
      </c>
      <c r="F237">
        <v>1</v>
      </c>
      <c r="G237">
        <v>1</v>
      </c>
      <c r="H237">
        <v>1</v>
      </c>
      <c r="I237" t="s">
        <v>703</v>
      </c>
      <c r="J237" t="s">
        <v>3</v>
      </c>
      <c r="K237" t="s">
        <v>704</v>
      </c>
      <c r="L237">
        <v>1369</v>
      </c>
      <c r="N237">
        <v>1013</v>
      </c>
      <c r="O237" t="s">
        <v>696</v>
      </c>
      <c r="P237" t="s">
        <v>696</v>
      </c>
      <c r="Q237">
        <v>1</v>
      </c>
      <c r="X237">
        <v>785.88</v>
      </c>
      <c r="Y237">
        <v>0</v>
      </c>
      <c r="Z237">
        <v>0</v>
      </c>
      <c r="AA237">
        <v>0</v>
      </c>
      <c r="AB237">
        <v>7.97</v>
      </c>
      <c r="AC237">
        <v>0</v>
      </c>
      <c r="AD237">
        <v>1</v>
      </c>
      <c r="AE237">
        <v>1</v>
      </c>
      <c r="AF237" t="s">
        <v>3</v>
      </c>
      <c r="AG237">
        <v>785.88</v>
      </c>
      <c r="AH237">
        <v>2</v>
      </c>
      <c r="AI237">
        <v>94799700</v>
      </c>
      <c r="AJ237">
        <v>237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ROW(Source!A318)</f>
        <v>318</v>
      </c>
      <c r="B238">
        <v>94799719</v>
      </c>
      <c r="C238">
        <v>94799699</v>
      </c>
      <c r="D238">
        <v>121548</v>
      </c>
      <c r="E238">
        <v>1</v>
      </c>
      <c r="F238">
        <v>1</v>
      </c>
      <c r="G238">
        <v>1</v>
      </c>
      <c r="H238">
        <v>1</v>
      </c>
      <c r="I238" t="s">
        <v>28</v>
      </c>
      <c r="J238" t="s">
        <v>3</v>
      </c>
      <c r="K238" t="s">
        <v>705</v>
      </c>
      <c r="L238">
        <v>608254</v>
      </c>
      <c r="N238">
        <v>1013</v>
      </c>
      <c r="O238" t="s">
        <v>706</v>
      </c>
      <c r="P238" t="s">
        <v>706</v>
      </c>
      <c r="Q238">
        <v>1</v>
      </c>
      <c r="X238">
        <v>31.3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2</v>
      </c>
      <c r="AF238" t="s">
        <v>3</v>
      </c>
      <c r="AG238">
        <v>31.3</v>
      </c>
      <c r="AH238">
        <v>2</v>
      </c>
      <c r="AI238">
        <v>94799701</v>
      </c>
      <c r="AJ238">
        <v>238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ROW(Source!A318)</f>
        <v>318</v>
      </c>
      <c r="B239">
        <v>94799720</v>
      </c>
      <c r="C239">
        <v>94799699</v>
      </c>
      <c r="D239">
        <v>37802359</v>
      </c>
      <c r="E239">
        <v>1</v>
      </c>
      <c r="F239">
        <v>1</v>
      </c>
      <c r="G239">
        <v>1</v>
      </c>
      <c r="H239">
        <v>2</v>
      </c>
      <c r="I239" t="s">
        <v>886</v>
      </c>
      <c r="J239" t="s">
        <v>887</v>
      </c>
      <c r="K239" t="s">
        <v>888</v>
      </c>
      <c r="L239">
        <v>1368</v>
      </c>
      <c r="N239">
        <v>1011</v>
      </c>
      <c r="O239" t="s">
        <v>700</v>
      </c>
      <c r="P239" t="s">
        <v>700</v>
      </c>
      <c r="Q239">
        <v>1</v>
      </c>
      <c r="X239">
        <v>30.35</v>
      </c>
      <c r="Y239">
        <v>0</v>
      </c>
      <c r="Z239">
        <v>103.49</v>
      </c>
      <c r="AA239">
        <v>12.1</v>
      </c>
      <c r="AB239">
        <v>0</v>
      </c>
      <c r="AC239">
        <v>0</v>
      </c>
      <c r="AD239">
        <v>1</v>
      </c>
      <c r="AE239">
        <v>0</v>
      </c>
      <c r="AF239" t="s">
        <v>3</v>
      </c>
      <c r="AG239">
        <v>30.35</v>
      </c>
      <c r="AH239">
        <v>2</v>
      </c>
      <c r="AI239">
        <v>94799702</v>
      </c>
      <c r="AJ239">
        <v>239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ROW(Source!A318)</f>
        <v>318</v>
      </c>
      <c r="B240">
        <v>94799721</v>
      </c>
      <c r="C240">
        <v>94799699</v>
      </c>
      <c r="D240">
        <v>37802443</v>
      </c>
      <c r="E240">
        <v>1</v>
      </c>
      <c r="F240">
        <v>1</v>
      </c>
      <c r="G240">
        <v>1</v>
      </c>
      <c r="H240">
        <v>2</v>
      </c>
      <c r="I240" t="s">
        <v>721</v>
      </c>
      <c r="J240" t="s">
        <v>722</v>
      </c>
      <c r="K240" t="s">
        <v>723</v>
      </c>
      <c r="L240">
        <v>1368</v>
      </c>
      <c r="N240">
        <v>1011</v>
      </c>
      <c r="O240" t="s">
        <v>700</v>
      </c>
      <c r="P240" t="s">
        <v>700</v>
      </c>
      <c r="Q240">
        <v>1</v>
      </c>
      <c r="X240">
        <v>0.68</v>
      </c>
      <c r="Y240">
        <v>0</v>
      </c>
      <c r="Z240">
        <v>124.14</v>
      </c>
      <c r="AA240">
        <v>12.1</v>
      </c>
      <c r="AB240">
        <v>0</v>
      </c>
      <c r="AC240">
        <v>0</v>
      </c>
      <c r="AD240">
        <v>1</v>
      </c>
      <c r="AE240">
        <v>0</v>
      </c>
      <c r="AF240" t="s">
        <v>3</v>
      </c>
      <c r="AG240">
        <v>0.68</v>
      </c>
      <c r="AH240">
        <v>2</v>
      </c>
      <c r="AI240">
        <v>94799703</v>
      </c>
      <c r="AJ240">
        <v>240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ROW(Source!A318)</f>
        <v>318</v>
      </c>
      <c r="B241">
        <v>94799722</v>
      </c>
      <c r="C241">
        <v>94799699</v>
      </c>
      <c r="D241">
        <v>37802515</v>
      </c>
      <c r="E241">
        <v>1</v>
      </c>
      <c r="F241">
        <v>1</v>
      </c>
      <c r="G241">
        <v>1</v>
      </c>
      <c r="H241">
        <v>2</v>
      </c>
      <c r="I241" t="s">
        <v>774</v>
      </c>
      <c r="J241" t="s">
        <v>775</v>
      </c>
      <c r="K241" t="s">
        <v>776</v>
      </c>
      <c r="L241">
        <v>1368</v>
      </c>
      <c r="N241">
        <v>1011</v>
      </c>
      <c r="O241" t="s">
        <v>700</v>
      </c>
      <c r="P241" t="s">
        <v>700</v>
      </c>
      <c r="Q241">
        <v>1</v>
      </c>
      <c r="X241">
        <v>0.27</v>
      </c>
      <c r="Y241">
        <v>0</v>
      </c>
      <c r="Z241">
        <v>87.24</v>
      </c>
      <c r="AA241">
        <v>9</v>
      </c>
      <c r="AB241">
        <v>0</v>
      </c>
      <c r="AC241">
        <v>0</v>
      </c>
      <c r="AD241">
        <v>1</v>
      </c>
      <c r="AE241">
        <v>0</v>
      </c>
      <c r="AF241" t="s">
        <v>3</v>
      </c>
      <c r="AG241">
        <v>0.27</v>
      </c>
      <c r="AH241">
        <v>2</v>
      </c>
      <c r="AI241">
        <v>94799704</v>
      </c>
      <c r="AJ241">
        <v>241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ROW(Source!A318)</f>
        <v>318</v>
      </c>
      <c r="B242">
        <v>94799723</v>
      </c>
      <c r="C242">
        <v>94799699</v>
      </c>
      <c r="D242">
        <v>37802999</v>
      </c>
      <c r="E242">
        <v>1</v>
      </c>
      <c r="F242">
        <v>1</v>
      </c>
      <c r="G242">
        <v>1</v>
      </c>
      <c r="H242">
        <v>2</v>
      </c>
      <c r="I242" t="s">
        <v>934</v>
      </c>
      <c r="J242" t="s">
        <v>935</v>
      </c>
      <c r="K242" t="s">
        <v>936</v>
      </c>
      <c r="L242">
        <v>1368</v>
      </c>
      <c r="N242">
        <v>1011</v>
      </c>
      <c r="O242" t="s">
        <v>700</v>
      </c>
      <c r="P242" t="s">
        <v>700</v>
      </c>
      <c r="Q242">
        <v>1</v>
      </c>
      <c r="X242">
        <v>37.72</v>
      </c>
      <c r="Y242">
        <v>0</v>
      </c>
      <c r="Z242">
        <v>2.67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3</v>
      </c>
      <c r="AG242">
        <v>37.72</v>
      </c>
      <c r="AH242">
        <v>2</v>
      </c>
      <c r="AI242">
        <v>94799705</v>
      </c>
      <c r="AJ242">
        <v>242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ROW(Source!A318)</f>
        <v>318</v>
      </c>
      <c r="B243">
        <v>94799724</v>
      </c>
      <c r="C243">
        <v>94799699</v>
      </c>
      <c r="D243">
        <v>37804146</v>
      </c>
      <c r="E243">
        <v>1</v>
      </c>
      <c r="F243">
        <v>1</v>
      </c>
      <c r="G243">
        <v>1</v>
      </c>
      <c r="H243">
        <v>2</v>
      </c>
      <c r="I243" t="s">
        <v>937</v>
      </c>
      <c r="J243" t="s">
        <v>938</v>
      </c>
      <c r="K243" t="s">
        <v>939</v>
      </c>
      <c r="L243">
        <v>1368</v>
      </c>
      <c r="N243">
        <v>1011</v>
      </c>
      <c r="O243" t="s">
        <v>700</v>
      </c>
      <c r="P243" t="s">
        <v>700</v>
      </c>
      <c r="Q243">
        <v>1</v>
      </c>
      <c r="X243">
        <v>0.87</v>
      </c>
      <c r="Y243">
        <v>0</v>
      </c>
      <c r="Z243">
        <v>3.28</v>
      </c>
      <c r="AA243">
        <v>0</v>
      </c>
      <c r="AB243">
        <v>0</v>
      </c>
      <c r="AC243">
        <v>0</v>
      </c>
      <c r="AD243">
        <v>1</v>
      </c>
      <c r="AE243">
        <v>0</v>
      </c>
      <c r="AF243" t="s">
        <v>3</v>
      </c>
      <c r="AG243">
        <v>0.87</v>
      </c>
      <c r="AH243">
        <v>2</v>
      </c>
      <c r="AI243">
        <v>94799706</v>
      </c>
      <c r="AJ243">
        <v>243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ROW(Source!A318)</f>
        <v>318</v>
      </c>
      <c r="B244">
        <v>94799725</v>
      </c>
      <c r="C244">
        <v>94799699</v>
      </c>
      <c r="D244">
        <v>37804456</v>
      </c>
      <c r="E244">
        <v>1</v>
      </c>
      <c r="F244">
        <v>1</v>
      </c>
      <c r="G244">
        <v>1</v>
      </c>
      <c r="H244">
        <v>2</v>
      </c>
      <c r="I244" t="s">
        <v>713</v>
      </c>
      <c r="J244" t="s">
        <v>714</v>
      </c>
      <c r="K244" t="s">
        <v>715</v>
      </c>
      <c r="L244">
        <v>1368</v>
      </c>
      <c r="N244">
        <v>1011</v>
      </c>
      <c r="O244" t="s">
        <v>700</v>
      </c>
      <c r="P244" t="s">
        <v>700</v>
      </c>
      <c r="Q244">
        <v>1</v>
      </c>
      <c r="X244">
        <v>0.99</v>
      </c>
      <c r="Y244">
        <v>0</v>
      </c>
      <c r="Z244">
        <v>91.76</v>
      </c>
      <c r="AA244">
        <v>10.35</v>
      </c>
      <c r="AB244">
        <v>0</v>
      </c>
      <c r="AC244">
        <v>0</v>
      </c>
      <c r="AD244">
        <v>1</v>
      </c>
      <c r="AE244">
        <v>0</v>
      </c>
      <c r="AF244" t="s">
        <v>3</v>
      </c>
      <c r="AG244">
        <v>0.99</v>
      </c>
      <c r="AH244">
        <v>2</v>
      </c>
      <c r="AI244">
        <v>94799707</v>
      </c>
      <c r="AJ244">
        <v>244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ROW(Source!A318)</f>
        <v>318</v>
      </c>
      <c r="B245">
        <v>94799726</v>
      </c>
      <c r="C245">
        <v>94799699</v>
      </c>
      <c r="D245">
        <v>37736264</v>
      </c>
      <c r="E245">
        <v>1</v>
      </c>
      <c r="F245">
        <v>1</v>
      </c>
      <c r="G245">
        <v>1</v>
      </c>
      <c r="H245">
        <v>3</v>
      </c>
      <c r="I245" t="s">
        <v>842</v>
      </c>
      <c r="J245" t="s">
        <v>843</v>
      </c>
      <c r="K245" t="s">
        <v>844</v>
      </c>
      <c r="L245">
        <v>1348</v>
      </c>
      <c r="N245">
        <v>1009</v>
      </c>
      <c r="O245" t="s">
        <v>170</v>
      </c>
      <c r="P245" t="s">
        <v>170</v>
      </c>
      <c r="Q245">
        <v>1000</v>
      </c>
      <c r="X245">
        <v>3.7499999999999999E-2</v>
      </c>
      <c r="Y245">
        <v>4455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0</v>
      </c>
      <c r="AF245" t="s">
        <v>3</v>
      </c>
      <c r="AG245">
        <v>3.7499999999999999E-2</v>
      </c>
      <c r="AH245">
        <v>2</v>
      </c>
      <c r="AI245">
        <v>94799708</v>
      </c>
      <c r="AJ245">
        <v>245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ROW(Source!A318)</f>
        <v>318</v>
      </c>
      <c r="B246">
        <v>94799727</v>
      </c>
      <c r="C246">
        <v>94799699</v>
      </c>
      <c r="D246">
        <v>37736279</v>
      </c>
      <c r="E246">
        <v>1</v>
      </c>
      <c r="F246">
        <v>1</v>
      </c>
      <c r="G246">
        <v>1</v>
      </c>
      <c r="H246">
        <v>3</v>
      </c>
      <c r="I246" t="s">
        <v>730</v>
      </c>
      <c r="J246" t="s">
        <v>731</v>
      </c>
      <c r="K246" t="s">
        <v>732</v>
      </c>
      <c r="L246">
        <v>1348</v>
      </c>
      <c r="N246">
        <v>1009</v>
      </c>
      <c r="O246" t="s">
        <v>170</v>
      </c>
      <c r="P246" t="s">
        <v>170</v>
      </c>
      <c r="Q246">
        <v>1000</v>
      </c>
      <c r="X246">
        <v>6.1000000000000004E-3</v>
      </c>
      <c r="Y246">
        <v>10200</v>
      </c>
      <c r="Z246">
        <v>0</v>
      </c>
      <c r="AA246">
        <v>0</v>
      </c>
      <c r="AB246">
        <v>0</v>
      </c>
      <c r="AC246">
        <v>0</v>
      </c>
      <c r="AD246">
        <v>1</v>
      </c>
      <c r="AE246">
        <v>0</v>
      </c>
      <c r="AF246" t="s">
        <v>3</v>
      </c>
      <c r="AG246">
        <v>6.1000000000000004E-3</v>
      </c>
      <c r="AH246">
        <v>2</v>
      </c>
      <c r="AI246">
        <v>94799709</v>
      </c>
      <c r="AJ246">
        <v>246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ROW(Source!A318)</f>
        <v>318</v>
      </c>
      <c r="B247">
        <v>94799728</v>
      </c>
      <c r="C247">
        <v>94799699</v>
      </c>
      <c r="D247">
        <v>37730282</v>
      </c>
      <c r="E247">
        <v>1</v>
      </c>
      <c r="F247">
        <v>1</v>
      </c>
      <c r="G247">
        <v>1</v>
      </c>
      <c r="H247">
        <v>3</v>
      </c>
      <c r="I247" t="s">
        <v>892</v>
      </c>
      <c r="J247" t="s">
        <v>893</v>
      </c>
      <c r="K247" t="s">
        <v>894</v>
      </c>
      <c r="L247">
        <v>1327</v>
      </c>
      <c r="N247">
        <v>1005</v>
      </c>
      <c r="O247" t="s">
        <v>201</v>
      </c>
      <c r="P247" t="s">
        <v>201</v>
      </c>
      <c r="Q247">
        <v>1</v>
      </c>
      <c r="X247">
        <v>153</v>
      </c>
      <c r="Y247">
        <v>10.199999999999999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3</v>
      </c>
      <c r="AG247">
        <v>153</v>
      </c>
      <c r="AH247">
        <v>2</v>
      </c>
      <c r="AI247">
        <v>94799710</v>
      </c>
      <c r="AJ247">
        <v>247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ROW(Source!A318)</f>
        <v>318</v>
      </c>
      <c r="B248">
        <v>94799729</v>
      </c>
      <c r="C248">
        <v>94799699</v>
      </c>
      <c r="D248">
        <v>37736933</v>
      </c>
      <c r="E248">
        <v>1</v>
      </c>
      <c r="F248">
        <v>1</v>
      </c>
      <c r="G248">
        <v>1</v>
      </c>
      <c r="H248">
        <v>3</v>
      </c>
      <c r="I248" t="s">
        <v>851</v>
      </c>
      <c r="J248" t="s">
        <v>852</v>
      </c>
      <c r="K248" t="s">
        <v>853</v>
      </c>
      <c r="L248">
        <v>1348</v>
      </c>
      <c r="N248">
        <v>1009</v>
      </c>
      <c r="O248" t="s">
        <v>170</v>
      </c>
      <c r="P248" t="s">
        <v>170</v>
      </c>
      <c r="Q248">
        <v>1000</v>
      </c>
      <c r="X248">
        <v>2.3800000000000002E-2</v>
      </c>
      <c r="Y248">
        <v>12936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3</v>
      </c>
      <c r="AG248">
        <v>2.3800000000000002E-2</v>
      </c>
      <c r="AH248">
        <v>2</v>
      </c>
      <c r="AI248">
        <v>94799711</v>
      </c>
      <c r="AJ248">
        <v>248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ROW(Source!A318)</f>
        <v>318</v>
      </c>
      <c r="B249">
        <v>94799730</v>
      </c>
      <c r="C249">
        <v>94799699</v>
      </c>
      <c r="D249">
        <v>37738213</v>
      </c>
      <c r="E249">
        <v>1</v>
      </c>
      <c r="F249">
        <v>1</v>
      </c>
      <c r="G249">
        <v>1</v>
      </c>
      <c r="H249">
        <v>3</v>
      </c>
      <c r="I249" t="s">
        <v>940</v>
      </c>
      <c r="J249" t="s">
        <v>941</v>
      </c>
      <c r="K249" t="s">
        <v>942</v>
      </c>
      <c r="L249">
        <v>1339</v>
      </c>
      <c r="N249">
        <v>1007</v>
      </c>
      <c r="O249" t="s">
        <v>52</v>
      </c>
      <c r="P249" t="s">
        <v>52</v>
      </c>
      <c r="Q249">
        <v>1</v>
      </c>
      <c r="X249">
        <v>0.74</v>
      </c>
      <c r="Y249">
        <v>883.19</v>
      </c>
      <c r="Z249">
        <v>0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3</v>
      </c>
      <c r="AG249">
        <v>0.74</v>
      </c>
      <c r="AH249">
        <v>2</v>
      </c>
      <c r="AI249">
        <v>94799712</v>
      </c>
      <c r="AJ249">
        <v>249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ROW(Source!A318)</f>
        <v>318</v>
      </c>
      <c r="B250">
        <v>94799731</v>
      </c>
      <c r="C250">
        <v>94799699</v>
      </c>
      <c r="D250">
        <v>37753198</v>
      </c>
      <c r="E250">
        <v>1</v>
      </c>
      <c r="F250">
        <v>1</v>
      </c>
      <c r="G250">
        <v>1</v>
      </c>
      <c r="H250">
        <v>3</v>
      </c>
      <c r="I250" t="s">
        <v>943</v>
      </c>
      <c r="J250" t="s">
        <v>944</v>
      </c>
      <c r="K250" t="s">
        <v>945</v>
      </c>
      <c r="L250">
        <v>1327</v>
      </c>
      <c r="N250">
        <v>1005</v>
      </c>
      <c r="O250" t="s">
        <v>201</v>
      </c>
      <c r="P250" t="s">
        <v>201</v>
      </c>
      <c r="Q250">
        <v>1</v>
      </c>
      <c r="X250">
        <v>64.099999999999994</v>
      </c>
      <c r="Y250">
        <v>35.53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3</v>
      </c>
      <c r="AG250">
        <v>64.099999999999994</v>
      </c>
      <c r="AH250">
        <v>2</v>
      </c>
      <c r="AI250">
        <v>94799713</v>
      </c>
      <c r="AJ250">
        <v>250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ROW(Source!A318)</f>
        <v>318</v>
      </c>
      <c r="B251">
        <v>94799732</v>
      </c>
      <c r="C251">
        <v>94799699</v>
      </c>
      <c r="D251">
        <v>37753208</v>
      </c>
      <c r="E251">
        <v>1</v>
      </c>
      <c r="F251">
        <v>1</v>
      </c>
      <c r="G251">
        <v>1</v>
      </c>
      <c r="H251">
        <v>3</v>
      </c>
      <c r="I251" t="s">
        <v>897</v>
      </c>
      <c r="J251" t="s">
        <v>898</v>
      </c>
      <c r="K251" t="s">
        <v>899</v>
      </c>
      <c r="L251">
        <v>1348</v>
      </c>
      <c r="N251">
        <v>1009</v>
      </c>
      <c r="O251" t="s">
        <v>170</v>
      </c>
      <c r="P251" t="s">
        <v>170</v>
      </c>
      <c r="Q251">
        <v>1000</v>
      </c>
      <c r="X251">
        <v>4.5</v>
      </c>
      <c r="Y251">
        <v>5734.75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0</v>
      </c>
      <c r="AF251" t="s">
        <v>3</v>
      </c>
      <c r="AG251">
        <v>4.5</v>
      </c>
      <c r="AH251">
        <v>2</v>
      </c>
      <c r="AI251">
        <v>94799714</v>
      </c>
      <c r="AJ251">
        <v>251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ROW(Source!A318)</f>
        <v>318</v>
      </c>
      <c r="B252">
        <v>94799733</v>
      </c>
      <c r="C252">
        <v>94799699</v>
      </c>
      <c r="D252">
        <v>37767864</v>
      </c>
      <c r="E252">
        <v>1</v>
      </c>
      <c r="F252">
        <v>1</v>
      </c>
      <c r="G252">
        <v>1</v>
      </c>
      <c r="H252">
        <v>3</v>
      </c>
      <c r="I252" t="s">
        <v>412</v>
      </c>
      <c r="J252" t="s">
        <v>414</v>
      </c>
      <c r="K252" t="s">
        <v>413</v>
      </c>
      <c r="L252">
        <v>1339</v>
      </c>
      <c r="N252">
        <v>1007</v>
      </c>
      <c r="O252" t="s">
        <v>52</v>
      </c>
      <c r="P252" t="s">
        <v>52</v>
      </c>
      <c r="Q252">
        <v>1</v>
      </c>
      <c r="X252">
        <v>101.5</v>
      </c>
      <c r="Y252">
        <v>633</v>
      </c>
      <c r="Z252">
        <v>0</v>
      </c>
      <c r="AA252">
        <v>0</v>
      </c>
      <c r="AB252">
        <v>0</v>
      </c>
      <c r="AC252">
        <v>0</v>
      </c>
      <c r="AD252">
        <v>1</v>
      </c>
      <c r="AE252">
        <v>0</v>
      </c>
      <c r="AF252" t="s">
        <v>3</v>
      </c>
      <c r="AG252">
        <v>101.5</v>
      </c>
      <c r="AH252">
        <v>2</v>
      </c>
      <c r="AI252">
        <v>94799715</v>
      </c>
      <c r="AJ252">
        <v>252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ROW(Source!A318)</f>
        <v>318</v>
      </c>
      <c r="B253">
        <v>94799734</v>
      </c>
      <c r="C253">
        <v>94799699</v>
      </c>
      <c r="D253">
        <v>37777055</v>
      </c>
      <c r="E253">
        <v>1</v>
      </c>
      <c r="F253">
        <v>1</v>
      </c>
      <c r="G253">
        <v>1</v>
      </c>
      <c r="H253">
        <v>3</v>
      </c>
      <c r="I253" t="s">
        <v>946</v>
      </c>
      <c r="J253" t="s">
        <v>947</v>
      </c>
      <c r="K253" t="s">
        <v>948</v>
      </c>
      <c r="L253">
        <v>1348</v>
      </c>
      <c r="N253">
        <v>1009</v>
      </c>
      <c r="O253" t="s">
        <v>170</v>
      </c>
      <c r="P253" t="s">
        <v>170</v>
      </c>
      <c r="Q253">
        <v>1000</v>
      </c>
      <c r="X253">
        <v>2.7E-2</v>
      </c>
      <c r="Y253">
        <v>489.82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3</v>
      </c>
      <c r="AG253">
        <v>2.7E-2</v>
      </c>
      <c r="AH253">
        <v>2</v>
      </c>
      <c r="AI253">
        <v>94799716</v>
      </c>
      <c r="AJ253">
        <v>253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ROW(Source!A318)</f>
        <v>318</v>
      </c>
      <c r="B254">
        <v>94799735</v>
      </c>
      <c r="C254">
        <v>94799699</v>
      </c>
      <c r="D254">
        <v>37777802</v>
      </c>
      <c r="E254">
        <v>1</v>
      </c>
      <c r="F254">
        <v>1</v>
      </c>
      <c r="G254">
        <v>1</v>
      </c>
      <c r="H254">
        <v>3</v>
      </c>
      <c r="I254" t="s">
        <v>883</v>
      </c>
      <c r="J254" t="s">
        <v>884</v>
      </c>
      <c r="K254" t="s">
        <v>885</v>
      </c>
      <c r="L254">
        <v>1339</v>
      </c>
      <c r="N254">
        <v>1007</v>
      </c>
      <c r="O254" t="s">
        <v>52</v>
      </c>
      <c r="P254" t="s">
        <v>52</v>
      </c>
      <c r="Q254">
        <v>1</v>
      </c>
      <c r="X254">
        <v>0.441</v>
      </c>
      <c r="Y254">
        <v>2.4700000000000002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0</v>
      </c>
      <c r="AF254" t="s">
        <v>3</v>
      </c>
      <c r="AG254">
        <v>0.441</v>
      </c>
      <c r="AH254">
        <v>2</v>
      </c>
      <c r="AI254">
        <v>94799717</v>
      </c>
      <c r="AJ254">
        <v>254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ROW(Source!A319)</f>
        <v>319</v>
      </c>
      <c r="B255">
        <v>94799744</v>
      </c>
      <c r="C255">
        <v>94799736</v>
      </c>
      <c r="D255">
        <v>23134955</v>
      </c>
      <c r="E255">
        <v>1</v>
      </c>
      <c r="F255">
        <v>1</v>
      </c>
      <c r="G255">
        <v>1</v>
      </c>
      <c r="H255">
        <v>1</v>
      </c>
      <c r="I255" t="s">
        <v>772</v>
      </c>
      <c r="J255" t="s">
        <v>3</v>
      </c>
      <c r="K255" t="s">
        <v>773</v>
      </c>
      <c r="L255">
        <v>1369</v>
      </c>
      <c r="N255">
        <v>1013</v>
      </c>
      <c r="O255" t="s">
        <v>696</v>
      </c>
      <c r="P255" t="s">
        <v>696</v>
      </c>
      <c r="Q255">
        <v>1</v>
      </c>
      <c r="X255">
        <v>8.5399999999999991</v>
      </c>
      <c r="Y255">
        <v>0</v>
      </c>
      <c r="Z255">
        <v>0</v>
      </c>
      <c r="AA255">
        <v>0</v>
      </c>
      <c r="AB255">
        <v>8.17</v>
      </c>
      <c r="AC255">
        <v>0</v>
      </c>
      <c r="AD255">
        <v>1</v>
      </c>
      <c r="AE255">
        <v>1</v>
      </c>
      <c r="AF255" t="s">
        <v>3</v>
      </c>
      <c r="AG255">
        <v>8.5399999999999991</v>
      </c>
      <c r="AH255">
        <v>2</v>
      </c>
      <c r="AI255">
        <v>94799737</v>
      </c>
      <c r="AJ255">
        <v>255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ROW(Source!A319)</f>
        <v>319</v>
      </c>
      <c r="B256">
        <v>94799745</v>
      </c>
      <c r="C256">
        <v>94799736</v>
      </c>
      <c r="D256">
        <v>121548</v>
      </c>
      <c r="E256">
        <v>1</v>
      </c>
      <c r="F256">
        <v>1</v>
      </c>
      <c r="G256">
        <v>1</v>
      </c>
      <c r="H256">
        <v>1</v>
      </c>
      <c r="I256" t="s">
        <v>28</v>
      </c>
      <c r="J256" t="s">
        <v>3</v>
      </c>
      <c r="K256" t="s">
        <v>705</v>
      </c>
      <c r="L256">
        <v>608254</v>
      </c>
      <c r="N256">
        <v>1013</v>
      </c>
      <c r="O256" t="s">
        <v>706</v>
      </c>
      <c r="P256" t="s">
        <v>706</v>
      </c>
      <c r="Q256">
        <v>1</v>
      </c>
      <c r="X256">
        <v>0.39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2</v>
      </c>
      <c r="AF256" t="s">
        <v>3</v>
      </c>
      <c r="AG256">
        <v>0.39</v>
      </c>
      <c r="AH256">
        <v>2</v>
      </c>
      <c r="AI256">
        <v>94799738</v>
      </c>
      <c r="AJ256">
        <v>256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ROW(Source!A319)</f>
        <v>319</v>
      </c>
      <c r="B257">
        <v>94799746</v>
      </c>
      <c r="C257">
        <v>94799736</v>
      </c>
      <c r="D257">
        <v>37802359</v>
      </c>
      <c r="E257">
        <v>1</v>
      </c>
      <c r="F257">
        <v>1</v>
      </c>
      <c r="G257">
        <v>1</v>
      </c>
      <c r="H257">
        <v>2</v>
      </c>
      <c r="I257" t="s">
        <v>886</v>
      </c>
      <c r="J257" t="s">
        <v>887</v>
      </c>
      <c r="K257" t="s">
        <v>888</v>
      </c>
      <c r="L257">
        <v>1368</v>
      </c>
      <c r="N257">
        <v>1011</v>
      </c>
      <c r="O257" t="s">
        <v>700</v>
      </c>
      <c r="P257" t="s">
        <v>700</v>
      </c>
      <c r="Q257">
        <v>1</v>
      </c>
      <c r="X257">
        <v>0.39</v>
      </c>
      <c r="Y257">
        <v>0</v>
      </c>
      <c r="Z257">
        <v>103.49</v>
      </c>
      <c r="AA257">
        <v>12.1</v>
      </c>
      <c r="AB257">
        <v>0</v>
      </c>
      <c r="AC257">
        <v>0</v>
      </c>
      <c r="AD257">
        <v>1</v>
      </c>
      <c r="AE257">
        <v>0</v>
      </c>
      <c r="AF257" t="s">
        <v>3</v>
      </c>
      <c r="AG257">
        <v>0.39</v>
      </c>
      <c r="AH257">
        <v>2</v>
      </c>
      <c r="AI257">
        <v>94799739</v>
      </c>
      <c r="AJ257">
        <v>257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ROW(Source!A319)</f>
        <v>319</v>
      </c>
      <c r="B258">
        <v>94799747</v>
      </c>
      <c r="C258">
        <v>94799736</v>
      </c>
      <c r="D258">
        <v>37738050</v>
      </c>
      <c r="E258">
        <v>1</v>
      </c>
      <c r="F258">
        <v>1</v>
      </c>
      <c r="G258">
        <v>1</v>
      </c>
      <c r="H258">
        <v>3</v>
      </c>
      <c r="I258" t="s">
        <v>949</v>
      </c>
      <c r="J258" t="s">
        <v>950</v>
      </c>
      <c r="K258" t="s">
        <v>951</v>
      </c>
      <c r="L258">
        <v>1339</v>
      </c>
      <c r="N258">
        <v>1007</v>
      </c>
      <c r="O258" t="s">
        <v>52</v>
      </c>
      <c r="P258" t="s">
        <v>52</v>
      </c>
      <c r="Q258">
        <v>1</v>
      </c>
      <c r="X258">
        <v>5.0000000000000001E-4</v>
      </c>
      <c r="Y258">
        <v>883.19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 t="s">
        <v>3</v>
      </c>
      <c r="AG258">
        <v>5.0000000000000001E-4</v>
      </c>
      <c r="AH258">
        <v>2</v>
      </c>
      <c r="AI258">
        <v>94799740</v>
      </c>
      <c r="AJ258">
        <v>258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ROW(Source!A319)</f>
        <v>319</v>
      </c>
      <c r="B259">
        <v>94799748</v>
      </c>
      <c r="C259">
        <v>94799736</v>
      </c>
      <c r="D259">
        <v>37768012</v>
      </c>
      <c r="E259">
        <v>1</v>
      </c>
      <c r="F259">
        <v>1</v>
      </c>
      <c r="G259">
        <v>1</v>
      </c>
      <c r="H259">
        <v>3</v>
      </c>
      <c r="I259" t="s">
        <v>952</v>
      </c>
      <c r="J259" t="s">
        <v>953</v>
      </c>
      <c r="K259" t="s">
        <v>954</v>
      </c>
      <c r="L259">
        <v>1339</v>
      </c>
      <c r="N259">
        <v>1007</v>
      </c>
      <c r="O259" t="s">
        <v>52</v>
      </c>
      <c r="P259" t="s">
        <v>52</v>
      </c>
      <c r="Q259">
        <v>1</v>
      </c>
      <c r="X259">
        <v>0.221</v>
      </c>
      <c r="Y259">
        <v>318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3</v>
      </c>
      <c r="AG259">
        <v>0.221</v>
      </c>
      <c r="AH259">
        <v>2</v>
      </c>
      <c r="AI259">
        <v>94799741</v>
      </c>
      <c r="AJ259">
        <v>259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ROW(Source!A319)</f>
        <v>319</v>
      </c>
      <c r="B260">
        <v>94799749</v>
      </c>
      <c r="C260">
        <v>94799736</v>
      </c>
      <c r="D260">
        <v>37776797</v>
      </c>
      <c r="E260">
        <v>1</v>
      </c>
      <c r="F260">
        <v>1</v>
      </c>
      <c r="G260">
        <v>1</v>
      </c>
      <c r="H260">
        <v>3</v>
      </c>
      <c r="I260" t="s">
        <v>955</v>
      </c>
      <c r="J260" t="s">
        <v>956</v>
      </c>
      <c r="K260" t="s">
        <v>957</v>
      </c>
      <c r="L260">
        <v>1356</v>
      </c>
      <c r="N260">
        <v>1010</v>
      </c>
      <c r="O260" t="s">
        <v>754</v>
      </c>
      <c r="P260" t="s">
        <v>754</v>
      </c>
      <c r="Q260">
        <v>1000</v>
      </c>
      <c r="X260">
        <v>0.4</v>
      </c>
      <c r="Y260">
        <v>941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3</v>
      </c>
      <c r="AG260">
        <v>0.4</v>
      </c>
      <c r="AH260">
        <v>2</v>
      </c>
      <c r="AI260">
        <v>94799742</v>
      </c>
      <c r="AJ260">
        <v>260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ROW(Source!A319)</f>
        <v>319</v>
      </c>
      <c r="B261">
        <v>94799750</v>
      </c>
      <c r="C261">
        <v>94799736</v>
      </c>
      <c r="D261">
        <v>37777802</v>
      </c>
      <c r="E261">
        <v>1</v>
      </c>
      <c r="F261">
        <v>1</v>
      </c>
      <c r="G261">
        <v>1</v>
      </c>
      <c r="H261">
        <v>3</v>
      </c>
      <c r="I261" t="s">
        <v>883</v>
      </c>
      <c r="J261" t="s">
        <v>884</v>
      </c>
      <c r="K261" t="s">
        <v>885</v>
      </c>
      <c r="L261">
        <v>1339</v>
      </c>
      <c r="N261">
        <v>1007</v>
      </c>
      <c r="O261" t="s">
        <v>52</v>
      </c>
      <c r="P261" t="s">
        <v>52</v>
      </c>
      <c r="Q261">
        <v>1</v>
      </c>
      <c r="X261">
        <v>0.35</v>
      </c>
      <c r="Y261">
        <v>2.4700000000000002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3</v>
      </c>
      <c r="AG261">
        <v>0.35</v>
      </c>
      <c r="AH261">
        <v>2</v>
      </c>
      <c r="AI261">
        <v>94799743</v>
      </c>
      <c r="AJ261">
        <v>261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ROW(Source!A320)</f>
        <v>320</v>
      </c>
      <c r="B262">
        <v>94799758</v>
      </c>
      <c r="C262">
        <v>94799751</v>
      </c>
      <c r="D262">
        <v>23129487</v>
      </c>
      <c r="E262">
        <v>1</v>
      </c>
      <c r="F262">
        <v>1</v>
      </c>
      <c r="G262">
        <v>1</v>
      </c>
      <c r="H262">
        <v>1</v>
      </c>
      <c r="I262" t="s">
        <v>915</v>
      </c>
      <c r="J262" t="s">
        <v>3</v>
      </c>
      <c r="K262" t="s">
        <v>916</v>
      </c>
      <c r="L262">
        <v>1369</v>
      </c>
      <c r="N262">
        <v>1013</v>
      </c>
      <c r="O262" t="s">
        <v>696</v>
      </c>
      <c r="P262" t="s">
        <v>696</v>
      </c>
      <c r="Q262">
        <v>1</v>
      </c>
      <c r="X262">
        <v>80.040000000000006</v>
      </c>
      <c r="Y262">
        <v>0</v>
      </c>
      <c r="Z262">
        <v>0</v>
      </c>
      <c r="AA262">
        <v>0</v>
      </c>
      <c r="AB262">
        <v>8.48</v>
      </c>
      <c r="AC262">
        <v>0</v>
      </c>
      <c r="AD262">
        <v>1</v>
      </c>
      <c r="AE262">
        <v>1</v>
      </c>
      <c r="AF262" t="s">
        <v>3</v>
      </c>
      <c r="AG262">
        <v>80.040000000000006</v>
      </c>
      <c r="AH262">
        <v>2</v>
      </c>
      <c r="AI262">
        <v>94799752</v>
      </c>
      <c r="AJ262">
        <v>262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ROW(Source!A320)</f>
        <v>320</v>
      </c>
      <c r="B263">
        <v>94799759</v>
      </c>
      <c r="C263">
        <v>94799751</v>
      </c>
      <c r="D263">
        <v>121548</v>
      </c>
      <c r="E263">
        <v>1</v>
      </c>
      <c r="F263">
        <v>1</v>
      </c>
      <c r="G263">
        <v>1</v>
      </c>
      <c r="H263">
        <v>1</v>
      </c>
      <c r="I263" t="s">
        <v>28</v>
      </c>
      <c r="J263" t="s">
        <v>3</v>
      </c>
      <c r="K263" t="s">
        <v>705</v>
      </c>
      <c r="L263">
        <v>608254</v>
      </c>
      <c r="N263">
        <v>1013</v>
      </c>
      <c r="O263" t="s">
        <v>706</v>
      </c>
      <c r="P263" t="s">
        <v>706</v>
      </c>
      <c r="Q263">
        <v>1</v>
      </c>
      <c r="X263">
        <v>2.09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1</v>
      </c>
      <c r="AE263">
        <v>2</v>
      </c>
      <c r="AF263" t="s">
        <v>3</v>
      </c>
      <c r="AG263">
        <v>2.09</v>
      </c>
      <c r="AH263">
        <v>2</v>
      </c>
      <c r="AI263">
        <v>94799753</v>
      </c>
      <c r="AJ263">
        <v>263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ROW(Source!A320)</f>
        <v>320</v>
      </c>
      <c r="B264">
        <v>94799760</v>
      </c>
      <c r="C264">
        <v>94799751</v>
      </c>
      <c r="D264">
        <v>37802699</v>
      </c>
      <c r="E264">
        <v>1</v>
      </c>
      <c r="F264">
        <v>1</v>
      </c>
      <c r="G264">
        <v>1</v>
      </c>
      <c r="H264">
        <v>2</v>
      </c>
      <c r="I264" t="s">
        <v>757</v>
      </c>
      <c r="J264" t="s">
        <v>758</v>
      </c>
      <c r="K264" t="s">
        <v>759</v>
      </c>
      <c r="L264">
        <v>1368</v>
      </c>
      <c r="N264">
        <v>1011</v>
      </c>
      <c r="O264" t="s">
        <v>700</v>
      </c>
      <c r="P264" t="s">
        <v>700</v>
      </c>
      <c r="Q264">
        <v>1</v>
      </c>
      <c r="X264">
        <v>2.09</v>
      </c>
      <c r="Y264">
        <v>0</v>
      </c>
      <c r="Z264">
        <v>59.38</v>
      </c>
      <c r="AA264">
        <v>9</v>
      </c>
      <c r="AB264">
        <v>0</v>
      </c>
      <c r="AC264">
        <v>0</v>
      </c>
      <c r="AD264">
        <v>1</v>
      </c>
      <c r="AE264">
        <v>0</v>
      </c>
      <c r="AF264" t="s">
        <v>3</v>
      </c>
      <c r="AG264">
        <v>2.09</v>
      </c>
      <c r="AH264">
        <v>2</v>
      </c>
      <c r="AI264">
        <v>94799754</v>
      </c>
      <c r="AJ264">
        <v>264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ROW(Source!A320)</f>
        <v>320</v>
      </c>
      <c r="B265">
        <v>94799761</v>
      </c>
      <c r="C265">
        <v>94799751</v>
      </c>
      <c r="D265">
        <v>37804221</v>
      </c>
      <c r="E265">
        <v>1</v>
      </c>
      <c r="F265">
        <v>1</v>
      </c>
      <c r="G265">
        <v>1</v>
      </c>
      <c r="H265">
        <v>2</v>
      </c>
      <c r="I265" t="s">
        <v>958</v>
      </c>
      <c r="J265" t="s">
        <v>959</v>
      </c>
      <c r="K265" t="s">
        <v>960</v>
      </c>
      <c r="L265">
        <v>1368</v>
      </c>
      <c r="N265">
        <v>1011</v>
      </c>
      <c r="O265" t="s">
        <v>700</v>
      </c>
      <c r="P265" t="s">
        <v>700</v>
      </c>
      <c r="Q265">
        <v>1</v>
      </c>
      <c r="X265">
        <v>32</v>
      </c>
      <c r="Y265">
        <v>0</v>
      </c>
      <c r="Z265">
        <v>1.66</v>
      </c>
      <c r="AA265">
        <v>0</v>
      </c>
      <c r="AB265">
        <v>0</v>
      </c>
      <c r="AC265">
        <v>0</v>
      </c>
      <c r="AD265">
        <v>1</v>
      </c>
      <c r="AE265">
        <v>0</v>
      </c>
      <c r="AF265" t="s">
        <v>3</v>
      </c>
      <c r="AG265">
        <v>32</v>
      </c>
      <c r="AH265">
        <v>2</v>
      </c>
      <c r="AI265">
        <v>94799755</v>
      </c>
      <c r="AJ265">
        <v>265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ROW(Source!A320)</f>
        <v>320</v>
      </c>
      <c r="B266">
        <v>94799762</v>
      </c>
      <c r="C266">
        <v>94799751</v>
      </c>
      <c r="D266">
        <v>37729685</v>
      </c>
      <c r="E266">
        <v>1</v>
      </c>
      <c r="F266">
        <v>1</v>
      </c>
      <c r="G266">
        <v>1</v>
      </c>
      <c r="H266">
        <v>3</v>
      </c>
      <c r="I266" t="s">
        <v>961</v>
      </c>
      <c r="J266" t="s">
        <v>962</v>
      </c>
      <c r="K266" t="s">
        <v>963</v>
      </c>
      <c r="L266">
        <v>1346</v>
      </c>
      <c r="N266">
        <v>1009</v>
      </c>
      <c r="O266" t="s">
        <v>192</v>
      </c>
      <c r="P266" t="s">
        <v>192</v>
      </c>
      <c r="Q266">
        <v>1</v>
      </c>
      <c r="X266">
        <v>2</v>
      </c>
      <c r="Y266">
        <v>5.71</v>
      </c>
      <c r="Z266">
        <v>0</v>
      </c>
      <c r="AA266">
        <v>0</v>
      </c>
      <c r="AB266">
        <v>0</v>
      </c>
      <c r="AC266">
        <v>0</v>
      </c>
      <c r="AD266">
        <v>1</v>
      </c>
      <c r="AE266">
        <v>0</v>
      </c>
      <c r="AF266" t="s">
        <v>3</v>
      </c>
      <c r="AG266">
        <v>2</v>
      </c>
      <c r="AH266">
        <v>2</v>
      </c>
      <c r="AI266">
        <v>94799756</v>
      </c>
      <c r="AJ266">
        <v>266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ROW(Source!A320)</f>
        <v>320</v>
      </c>
      <c r="B267">
        <v>94799763</v>
      </c>
      <c r="C267">
        <v>94799751</v>
      </c>
      <c r="D267">
        <v>37777802</v>
      </c>
      <c r="E267">
        <v>1</v>
      </c>
      <c r="F267">
        <v>1</v>
      </c>
      <c r="G267">
        <v>1</v>
      </c>
      <c r="H267">
        <v>3</v>
      </c>
      <c r="I267" t="s">
        <v>883</v>
      </c>
      <c r="J267" t="s">
        <v>884</v>
      </c>
      <c r="K267" t="s">
        <v>885</v>
      </c>
      <c r="L267">
        <v>1339</v>
      </c>
      <c r="N267">
        <v>1007</v>
      </c>
      <c r="O267" t="s">
        <v>52</v>
      </c>
      <c r="P267" t="s">
        <v>52</v>
      </c>
      <c r="Q267">
        <v>1</v>
      </c>
      <c r="X267">
        <v>2</v>
      </c>
      <c r="Y267">
        <v>2.4700000000000002</v>
      </c>
      <c r="Z267">
        <v>0</v>
      </c>
      <c r="AA267">
        <v>0</v>
      </c>
      <c r="AB267">
        <v>0</v>
      </c>
      <c r="AC267">
        <v>0</v>
      </c>
      <c r="AD267">
        <v>1</v>
      </c>
      <c r="AE267">
        <v>0</v>
      </c>
      <c r="AF267" t="s">
        <v>3</v>
      </c>
      <c r="AG267">
        <v>2</v>
      </c>
      <c r="AH267">
        <v>2</v>
      </c>
      <c r="AI267">
        <v>94799757</v>
      </c>
      <c r="AJ267">
        <v>267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ROW(Source!A321)</f>
        <v>321</v>
      </c>
      <c r="B268">
        <v>94799773</v>
      </c>
      <c r="C268">
        <v>94799764</v>
      </c>
      <c r="D268">
        <v>23136905</v>
      </c>
      <c r="E268">
        <v>1</v>
      </c>
      <c r="F268">
        <v>1</v>
      </c>
      <c r="G268">
        <v>1</v>
      </c>
      <c r="H268">
        <v>1</v>
      </c>
      <c r="I268" t="s">
        <v>964</v>
      </c>
      <c r="J268" t="s">
        <v>3</v>
      </c>
      <c r="K268" t="s">
        <v>965</v>
      </c>
      <c r="L268">
        <v>1369</v>
      </c>
      <c r="N268">
        <v>1013</v>
      </c>
      <c r="O268" t="s">
        <v>696</v>
      </c>
      <c r="P268" t="s">
        <v>696</v>
      </c>
      <c r="Q268">
        <v>1</v>
      </c>
      <c r="X268">
        <v>3.69</v>
      </c>
      <c r="Y268">
        <v>0</v>
      </c>
      <c r="Z268">
        <v>0</v>
      </c>
      <c r="AA268">
        <v>0</v>
      </c>
      <c r="AB268">
        <v>8.58</v>
      </c>
      <c r="AC268">
        <v>0</v>
      </c>
      <c r="AD268">
        <v>1</v>
      </c>
      <c r="AE268">
        <v>1</v>
      </c>
      <c r="AF268" t="s">
        <v>3</v>
      </c>
      <c r="AG268">
        <v>3.69</v>
      </c>
      <c r="AH268">
        <v>2</v>
      </c>
      <c r="AI268">
        <v>94799765</v>
      </c>
      <c r="AJ268">
        <v>268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ROW(Source!A321)</f>
        <v>321</v>
      </c>
      <c r="B269">
        <v>94799774</v>
      </c>
      <c r="C269">
        <v>94799764</v>
      </c>
      <c r="D269">
        <v>121548</v>
      </c>
      <c r="E269">
        <v>1</v>
      </c>
      <c r="F269">
        <v>1</v>
      </c>
      <c r="G269">
        <v>1</v>
      </c>
      <c r="H269">
        <v>1</v>
      </c>
      <c r="I269" t="s">
        <v>28</v>
      </c>
      <c r="J269" t="s">
        <v>3</v>
      </c>
      <c r="K269" t="s">
        <v>705</v>
      </c>
      <c r="L269">
        <v>608254</v>
      </c>
      <c r="N269">
        <v>1013</v>
      </c>
      <c r="O269" t="s">
        <v>706</v>
      </c>
      <c r="P269" t="s">
        <v>706</v>
      </c>
      <c r="Q269">
        <v>1</v>
      </c>
      <c r="X269">
        <v>0.01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</v>
      </c>
      <c r="AE269">
        <v>2</v>
      </c>
      <c r="AF269" t="s">
        <v>3</v>
      </c>
      <c r="AG269">
        <v>0.01</v>
      </c>
      <c r="AH269">
        <v>2</v>
      </c>
      <c r="AI269">
        <v>94799766</v>
      </c>
      <c r="AJ269">
        <v>269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ROW(Source!A321)</f>
        <v>321</v>
      </c>
      <c r="B270">
        <v>94799775</v>
      </c>
      <c r="C270">
        <v>94799764</v>
      </c>
      <c r="D270">
        <v>37802576</v>
      </c>
      <c r="E270">
        <v>1</v>
      </c>
      <c r="F270">
        <v>1</v>
      </c>
      <c r="G270">
        <v>1</v>
      </c>
      <c r="H270">
        <v>2</v>
      </c>
      <c r="I270" t="s">
        <v>966</v>
      </c>
      <c r="J270" t="s">
        <v>967</v>
      </c>
      <c r="K270" t="s">
        <v>968</v>
      </c>
      <c r="L270">
        <v>1368</v>
      </c>
      <c r="N270">
        <v>1011</v>
      </c>
      <c r="O270" t="s">
        <v>700</v>
      </c>
      <c r="P270" t="s">
        <v>700</v>
      </c>
      <c r="Q270">
        <v>1</v>
      </c>
      <c r="X270">
        <v>0.01</v>
      </c>
      <c r="Y270">
        <v>0</v>
      </c>
      <c r="Z270">
        <v>28.1</v>
      </c>
      <c r="AA270">
        <v>10.35</v>
      </c>
      <c r="AB270">
        <v>0</v>
      </c>
      <c r="AC270">
        <v>0</v>
      </c>
      <c r="AD270">
        <v>1</v>
      </c>
      <c r="AE270">
        <v>0</v>
      </c>
      <c r="AF270" t="s">
        <v>3</v>
      </c>
      <c r="AG270">
        <v>0.01</v>
      </c>
      <c r="AH270">
        <v>2</v>
      </c>
      <c r="AI270">
        <v>94799767</v>
      </c>
      <c r="AJ270">
        <v>270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ROW(Source!A321)</f>
        <v>321</v>
      </c>
      <c r="B271">
        <v>94799776</v>
      </c>
      <c r="C271">
        <v>94799764</v>
      </c>
      <c r="D271">
        <v>37804211</v>
      </c>
      <c r="E271">
        <v>1</v>
      </c>
      <c r="F271">
        <v>1</v>
      </c>
      <c r="G271">
        <v>1</v>
      </c>
      <c r="H271">
        <v>2</v>
      </c>
      <c r="I271" t="s">
        <v>928</v>
      </c>
      <c r="J271" t="s">
        <v>929</v>
      </c>
      <c r="K271" t="s">
        <v>930</v>
      </c>
      <c r="L271">
        <v>1368</v>
      </c>
      <c r="N271">
        <v>1011</v>
      </c>
      <c r="O271" t="s">
        <v>700</v>
      </c>
      <c r="P271" t="s">
        <v>700</v>
      </c>
      <c r="Q271">
        <v>1</v>
      </c>
      <c r="X271">
        <v>2.82</v>
      </c>
      <c r="Y271">
        <v>0</v>
      </c>
      <c r="Z271">
        <v>7.52</v>
      </c>
      <c r="AA271">
        <v>0</v>
      </c>
      <c r="AB271">
        <v>0</v>
      </c>
      <c r="AC271">
        <v>0</v>
      </c>
      <c r="AD271">
        <v>1</v>
      </c>
      <c r="AE271">
        <v>0</v>
      </c>
      <c r="AF271" t="s">
        <v>3</v>
      </c>
      <c r="AG271">
        <v>2.82</v>
      </c>
      <c r="AH271">
        <v>2</v>
      </c>
      <c r="AI271">
        <v>94799768</v>
      </c>
      <c r="AJ271">
        <v>271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ROW(Source!A321)</f>
        <v>321</v>
      </c>
      <c r="B272">
        <v>94799777</v>
      </c>
      <c r="C272">
        <v>94799764</v>
      </c>
      <c r="D272">
        <v>37804456</v>
      </c>
      <c r="E272">
        <v>1</v>
      </c>
      <c r="F272">
        <v>1</v>
      </c>
      <c r="G272">
        <v>1</v>
      </c>
      <c r="H272">
        <v>2</v>
      </c>
      <c r="I272" t="s">
        <v>713</v>
      </c>
      <c r="J272" t="s">
        <v>714</v>
      </c>
      <c r="K272" t="s">
        <v>715</v>
      </c>
      <c r="L272">
        <v>1368</v>
      </c>
      <c r="N272">
        <v>1011</v>
      </c>
      <c r="O272" t="s">
        <v>700</v>
      </c>
      <c r="P272" t="s">
        <v>700</v>
      </c>
      <c r="Q272">
        <v>1</v>
      </c>
      <c r="X272">
        <v>0.04</v>
      </c>
      <c r="Y272">
        <v>0</v>
      </c>
      <c r="Z272">
        <v>91.76</v>
      </c>
      <c r="AA272">
        <v>10.35</v>
      </c>
      <c r="AB272">
        <v>0</v>
      </c>
      <c r="AC272">
        <v>0</v>
      </c>
      <c r="AD272">
        <v>1</v>
      </c>
      <c r="AE272">
        <v>0</v>
      </c>
      <c r="AF272" t="s">
        <v>3</v>
      </c>
      <c r="AG272">
        <v>0.04</v>
      </c>
      <c r="AH272">
        <v>2</v>
      </c>
      <c r="AI272">
        <v>94799769</v>
      </c>
      <c r="AJ272">
        <v>272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ROW(Source!A321)</f>
        <v>321</v>
      </c>
      <c r="B273">
        <v>94799778</v>
      </c>
      <c r="C273">
        <v>94799764</v>
      </c>
      <c r="D273">
        <v>37729991</v>
      </c>
      <c r="E273">
        <v>1</v>
      </c>
      <c r="F273">
        <v>1</v>
      </c>
      <c r="G273">
        <v>1</v>
      </c>
      <c r="H273">
        <v>3</v>
      </c>
      <c r="I273" t="s">
        <v>969</v>
      </c>
      <c r="J273" t="s">
        <v>970</v>
      </c>
      <c r="K273" t="s">
        <v>971</v>
      </c>
      <c r="L273">
        <v>1346</v>
      </c>
      <c r="N273">
        <v>1009</v>
      </c>
      <c r="O273" t="s">
        <v>192</v>
      </c>
      <c r="P273" t="s">
        <v>192</v>
      </c>
      <c r="Q273">
        <v>1</v>
      </c>
      <c r="X273">
        <v>1</v>
      </c>
      <c r="Y273">
        <v>1.82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3</v>
      </c>
      <c r="AG273">
        <v>1</v>
      </c>
      <c r="AH273">
        <v>2</v>
      </c>
      <c r="AI273">
        <v>94799770</v>
      </c>
      <c r="AJ273">
        <v>273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ROW(Source!A321)</f>
        <v>321</v>
      </c>
      <c r="B274">
        <v>94799779</v>
      </c>
      <c r="C274">
        <v>94799764</v>
      </c>
      <c r="D274">
        <v>37731470</v>
      </c>
      <c r="E274">
        <v>1</v>
      </c>
      <c r="F274">
        <v>1</v>
      </c>
      <c r="G274">
        <v>1</v>
      </c>
      <c r="H274">
        <v>3</v>
      </c>
      <c r="I274" t="s">
        <v>972</v>
      </c>
      <c r="J274" t="s">
        <v>973</v>
      </c>
      <c r="K274" t="s">
        <v>974</v>
      </c>
      <c r="L274">
        <v>1346</v>
      </c>
      <c r="N274">
        <v>1009</v>
      </c>
      <c r="O274" t="s">
        <v>192</v>
      </c>
      <c r="P274" t="s">
        <v>192</v>
      </c>
      <c r="Q274">
        <v>1</v>
      </c>
      <c r="X274">
        <v>13.8</v>
      </c>
      <c r="Y274">
        <v>15.47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3</v>
      </c>
      <c r="AG274">
        <v>13.8</v>
      </c>
      <c r="AH274">
        <v>2</v>
      </c>
      <c r="AI274">
        <v>94799771</v>
      </c>
      <c r="AJ274">
        <v>274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ROW(Source!A321)</f>
        <v>321</v>
      </c>
      <c r="B275">
        <v>94799780</v>
      </c>
      <c r="C275">
        <v>94799764</v>
      </c>
      <c r="D275">
        <v>37777802</v>
      </c>
      <c r="E275">
        <v>1</v>
      </c>
      <c r="F275">
        <v>1</v>
      </c>
      <c r="G275">
        <v>1</v>
      </c>
      <c r="H275">
        <v>3</v>
      </c>
      <c r="I275" t="s">
        <v>883</v>
      </c>
      <c r="J275" t="s">
        <v>884</v>
      </c>
      <c r="K275" t="s">
        <v>885</v>
      </c>
      <c r="L275">
        <v>1339</v>
      </c>
      <c r="N275">
        <v>1007</v>
      </c>
      <c r="O275" t="s">
        <v>52</v>
      </c>
      <c r="P275" t="s">
        <v>52</v>
      </c>
      <c r="Q275">
        <v>1</v>
      </c>
      <c r="X275">
        <v>0.01</v>
      </c>
      <c r="Y275">
        <v>2.4700000000000002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3</v>
      </c>
      <c r="AG275">
        <v>0.01</v>
      </c>
      <c r="AH275">
        <v>2</v>
      </c>
      <c r="AI275">
        <v>94799772</v>
      </c>
      <c r="AJ275">
        <v>275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ROW(Source!A322)</f>
        <v>322</v>
      </c>
      <c r="B276">
        <v>94799791</v>
      </c>
      <c r="C276">
        <v>94799781</v>
      </c>
      <c r="D276">
        <v>23129536</v>
      </c>
      <c r="E276">
        <v>1</v>
      </c>
      <c r="F276">
        <v>1</v>
      </c>
      <c r="G276">
        <v>1</v>
      </c>
      <c r="H276">
        <v>1</v>
      </c>
      <c r="I276" t="s">
        <v>895</v>
      </c>
      <c r="J276" t="s">
        <v>3</v>
      </c>
      <c r="K276" t="s">
        <v>896</v>
      </c>
      <c r="L276">
        <v>1369</v>
      </c>
      <c r="N276">
        <v>1013</v>
      </c>
      <c r="O276" t="s">
        <v>696</v>
      </c>
      <c r="P276" t="s">
        <v>696</v>
      </c>
      <c r="Q276">
        <v>1</v>
      </c>
      <c r="X276">
        <v>32.729999999999997</v>
      </c>
      <c r="Y276">
        <v>0</v>
      </c>
      <c r="Z276">
        <v>0</v>
      </c>
      <c r="AA276">
        <v>0</v>
      </c>
      <c r="AB276">
        <v>8.2799999999999994</v>
      </c>
      <c r="AC276">
        <v>0</v>
      </c>
      <c r="AD276">
        <v>1</v>
      </c>
      <c r="AE276">
        <v>1</v>
      </c>
      <c r="AF276" t="s">
        <v>3</v>
      </c>
      <c r="AG276">
        <v>32.729999999999997</v>
      </c>
      <c r="AH276">
        <v>2</v>
      </c>
      <c r="AI276">
        <v>94799782</v>
      </c>
      <c r="AJ276">
        <v>276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ROW(Source!A322)</f>
        <v>322</v>
      </c>
      <c r="B277">
        <v>94799792</v>
      </c>
      <c r="C277">
        <v>94799781</v>
      </c>
      <c r="D277">
        <v>121548</v>
      </c>
      <c r="E277">
        <v>1</v>
      </c>
      <c r="F277">
        <v>1</v>
      </c>
      <c r="G277">
        <v>1</v>
      </c>
      <c r="H277">
        <v>1</v>
      </c>
      <c r="I277" t="s">
        <v>28</v>
      </c>
      <c r="J277" t="s">
        <v>3</v>
      </c>
      <c r="K277" t="s">
        <v>705</v>
      </c>
      <c r="L277">
        <v>608254</v>
      </c>
      <c r="N277">
        <v>1013</v>
      </c>
      <c r="O277" t="s">
        <v>706</v>
      </c>
      <c r="P277" t="s">
        <v>706</v>
      </c>
      <c r="Q277">
        <v>1</v>
      </c>
      <c r="X277">
        <v>0.01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2</v>
      </c>
      <c r="AF277" t="s">
        <v>3</v>
      </c>
      <c r="AG277">
        <v>0.01</v>
      </c>
      <c r="AH277">
        <v>2</v>
      </c>
      <c r="AI277">
        <v>94799783</v>
      </c>
      <c r="AJ277">
        <v>277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ROW(Source!A322)</f>
        <v>322</v>
      </c>
      <c r="B278">
        <v>94799793</v>
      </c>
      <c r="C278">
        <v>94799781</v>
      </c>
      <c r="D278">
        <v>37802576</v>
      </c>
      <c r="E278">
        <v>1</v>
      </c>
      <c r="F278">
        <v>1</v>
      </c>
      <c r="G278">
        <v>1</v>
      </c>
      <c r="H278">
        <v>2</v>
      </c>
      <c r="I278" t="s">
        <v>966</v>
      </c>
      <c r="J278" t="s">
        <v>967</v>
      </c>
      <c r="K278" t="s">
        <v>968</v>
      </c>
      <c r="L278">
        <v>1368</v>
      </c>
      <c r="N278">
        <v>1011</v>
      </c>
      <c r="O278" t="s">
        <v>700</v>
      </c>
      <c r="P278" t="s">
        <v>700</v>
      </c>
      <c r="Q278">
        <v>1</v>
      </c>
      <c r="X278">
        <v>0.01</v>
      </c>
      <c r="Y278">
        <v>0</v>
      </c>
      <c r="Z278">
        <v>28.1</v>
      </c>
      <c r="AA278">
        <v>10.35</v>
      </c>
      <c r="AB278">
        <v>0</v>
      </c>
      <c r="AC278">
        <v>0</v>
      </c>
      <c r="AD278">
        <v>1</v>
      </c>
      <c r="AE278">
        <v>0</v>
      </c>
      <c r="AF278" t="s">
        <v>3</v>
      </c>
      <c r="AG278">
        <v>0.01</v>
      </c>
      <c r="AH278">
        <v>2</v>
      </c>
      <c r="AI278">
        <v>94799784</v>
      </c>
      <c r="AJ278">
        <v>278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ROW(Source!A322)</f>
        <v>322</v>
      </c>
      <c r="B279">
        <v>94799794</v>
      </c>
      <c r="C279">
        <v>94799781</v>
      </c>
      <c r="D279">
        <v>37804456</v>
      </c>
      <c r="E279">
        <v>1</v>
      </c>
      <c r="F279">
        <v>1</v>
      </c>
      <c r="G279">
        <v>1</v>
      </c>
      <c r="H279">
        <v>2</v>
      </c>
      <c r="I279" t="s">
        <v>713</v>
      </c>
      <c r="J279" t="s">
        <v>714</v>
      </c>
      <c r="K279" t="s">
        <v>715</v>
      </c>
      <c r="L279">
        <v>1368</v>
      </c>
      <c r="N279">
        <v>1011</v>
      </c>
      <c r="O279" t="s">
        <v>700</v>
      </c>
      <c r="P279" t="s">
        <v>700</v>
      </c>
      <c r="Q279">
        <v>1</v>
      </c>
      <c r="X279">
        <v>0.1</v>
      </c>
      <c r="Y279">
        <v>0</v>
      </c>
      <c r="Z279">
        <v>91.76</v>
      </c>
      <c r="AA279">
        <v>10.35</v>
      </c>
      <c r="AB279">
        <v>0</v>
      </c>
      <c r="AC279">
        <v>0</v>
      </c>
      <c r="AD279">
        <v>1</v>
      </c>
      <c r="AE279">
        <v>0</v>
      </c>
      <c r="AF279" t="s">
        <v>3</v>
      </c>
      <c r="AG279">
        <v>0.1</v>
      </c>
      <c r="AH279">
        <v>2</v>
      </c>
      <c r="AI279">
        <v>94799785</v>
      </c>
      <c r="AJ279">
        <v>279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ROW(Source!A322)</f>
        <v>322</v>
      </c>
      <c r="B280">
        <v>94799795</v>
      </c>
      <c r="C280">
        <v>94799781</v>
      </c>
      <c r="D280">
        <v>37729978</v>
      </c>
      <c r="E280">
        <v>1</v>
      </c>
      <c r="F280">
        <v>1</v>
      </c>
      <c r="G280">
        <v>1</v>
      </c>
      <c r="H280">
        <v>3</v>
      </c>
      <c r="I280" t="s">
        <v>975</v>
      </c>
      <c r="J280" t="s">
        <v>976</v>
      </c>
      <c r="K280" t="s">
        <v>977</v>
      </c>
      <c r="L280">
        <v>1327</v>
      </c>
      <c r="N280">
        <v>1005</v>
      </c>
      <c r="O280" t="s">
        <v>201</v>
      </c>
      <c r="P280" t="s">
        <v>201</v>
      </c>
      <c r="Q280">
        <v>1</v>
      </c>
      <c r="X280">
        <v>0.84</v>
      </c>
      <c r="Y280">
        <v>72.319999999999993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0</v>
      </c>
      <c r="AF280" t="s">
        <v>3</v>
      </c>
      <c r="AG280">
        <v>0.84</v>
      </c>
      <c r="AH280">
        <v>2</v>
      </c>
      <c r="AI280">
        <v>94799786</v>
      </c>
      <c r="AJ280">
        <v>280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ROW(Source!A322)</f>
        <v>322</v>
      </c>
      <c r="B281">
        <v>94799796</v>
      </c>
      <c r="C281">
        <v>94799781</v>
      </c>
      <c r="D281">
        <v>37729991</v>
      </c>
      <c r="E281">
        <v>1</v>
      </c>
      <c r="F281">
        <v>1</v>
      </c>
      <c r="G281">
        <v>1</v>
      </c>
      <c r="H281">
        <v>3</v>
      </c>
      <c r="I281" t="s">
        <v>969</v>
      </c>
      <c r="J281" t="s">
        <v>970</v>
      </c>
      <c r="K281" t="s">
        <v>971</v>
      </c>
      <c r="L281">
        <v>1346</v>
      </c>
      <c r="N281">
        <v>1009</v>
      </c>
      <c r="O281" t="s">
        <v>192</v>
      </c>
      <c r="P281" t="s">
        <v>192</v>
      </c>
      <c r="Q281">
        <v>1</v>
      </c>
      <c r="X281">
        <v>0.31</v>
      </c>
      <c r="Y281">
        <v>1.82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3</v>
      </c>
      <c r="AG281">
        <v>0.31</v>
      </c>
      <c r="AH281">
        <v>2</v>
      </c>
      <c r="AI281">
        <v>94799787</v>
      </c>
      <c r="AJ281">
        <v>281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ROW(Source!A322)</f>
        <v>322</v>
      </c>
      <c r="B282">
        <v>94799797</v>
      </c>
      <c r="C282">
        <v>94799781</v>
      </c>
      <c r="D282">
        <v>37732292</v>
      </c>
      <c r="E282">
        <v>1</v>
      </c>
      <c r="F282">
        <v>1</v>
      </c>
      <c r="G282">
        <v>1</v>
      </c>
      <c r="H282">
        <v>3</v>
      </c>
      <c r="I282" t="s">
        <v>978</v>
      </c>
      <c r="J282" t="s">
        <v>979</v>
      </c>
      <c r="K282" t="s">
        <v>980</v>
      </c>
      <c r="L282">
        <v>1348</v>
      </c>
      <c r="N282">
        <v>1009</v>
      </c>
      <c r="O282" t="s">
        <v>170</v>
      </c>
      <c r="P282" t="s">
        <v>170</v>
      </c>
      <c r="Q282">
        <v>1000</v>
      </c>
      <c r="X282">
        <v>0.03</v>
      </c>
      <c r="Y282">
        <v>4500.91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3</v>
      </c>
      <c r="AG282">
        <v>0.03</v>
      </c>
      <c r="AH282">
        <v>2</v>
      </c>
      <c r="AI282">
        <v>94799788</v>
      </c>
      <c r="AJ282">
        <v>282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ROW(Source!A322)</f>
        <v>322</v>
      </c>
      <c r="B283">
        <v>94799798</v>
      </c>
      <c r="C283">
        <v>94799781</v>
      </c>
      <c r="D283">
        <v>37731907</v>
      </c>
      <c r="E283">
        <v>1</v>
      </c>
      <c r="F283">
        <v>1</v>
      </c>
      <c r="G283">
        <v>1</v>
      </c>
      <c r="H283">
        <v>3</v>
      </c>
      <c r="I283" t="s">
        <v>981</v>
      </c>
      <c r="J283" t="s">
        <v>982</v>
      </c>
      <c r="K283" t="s">
        <v>983</v>
      </c>
      <c r="L283">
        <v>1348</v>
      </c>
      <c r="N283">
        <v>1009</v>
      </c>
      <c r="O283" t="s">
        <v>170</v>
      </c>
      <c r="P283" t="s">
        <v>170</v>
      </c>
      <c r="Q283">
        <v>1000</v>
      </c>
      <c r="X283">
        <v>5.0000000000000001E-3</v>
      </c>
      <c r="Y283">
        <v>11568.05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3</v>
      </c>
      <c r="AG283">
        <v>5.0000000000000001E-3</v>
      </c>
      <c r="AH283">
        <v>2</v>
      </c>
      <c r="AI283">
        <v>94799789</v>
      </c>
      <c r="AJ283">
        <v>283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ROW(Source!A322)</f>
        <v>322</v>
      </c>
      <c r="B284">
        <v>94799799</v>
      </c>
      <c r="C284">
        <v>94799781</v>
      </c>
      <c r="D284">
        <v>37731470</v>
      </c>
      <c r="E284">
        <v>1</v>
      </c>
      <c r="F284">
        <v>1</v>
      </c>
      <c r="G284">
        <v>1</v>
      </c>
      <c r="H284">
        <v>3</v>
      </c>
      <c r="I284" t="s">
        <v>972</v>
      </c>
      <c r="J284" t="s">
        <v>973</v>
      </c>
      <c r="K284" t="s">
        <v>974</v>
      </c>
      <c r="L284">
        <v>1346</v>
      </c>
      <c r="N284">
        <v>1009</v>
      </c>
      <c r="O284" t="s">
        <v>192</v>
      </c>
      <c r="P284" t="s">
        <v>192</v>
      </c>
      <c r="Q284">
        <v>1</v>
      </c>
      <c r="X284">
        <v>20</v>
      </c>
      <c r="Y284">
        <v>15.47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0</v>
      </c>
      <c r="AF284" t="s">
        <v>3</v>
      </c>
      <c r="AG284">
        <v>20</v>
      </c>
      <c r="AH284">
        <v>2</v>
      </c>
      <c r="AI284">
        <v>94799790</v>
      </c>
      <c r="AJ284">
        <v>284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ROW(Source!A323)</f>
        <v>323</v>
      </c>
      <c r="B285">
        <v>94801566</v>
      </c>
      <c r="C285">
        <v>94801565</v>
      </c>
      <c r="D285">
        <v>23129805</v>
      </c>
      <c r="E285">
        <v>1</v>
      </c>
      <c r="F285">
        <v>1</v>
      </c>
      <c r="G285">
        <v>1</v>
      </c>
      <c r="H285">
        <v>1</v>
      </c>
      <c r="I285" t="s">
        <v>703</v>
      </c>
      <c r="J285" t="s">
        <v>3</v>
      </c>
      <c r="K285" t="s">
        <v>704</v>
      </c>
      <c r="L285">
        <v>1369</v>
      </c>
      <c r="N285">
        <v>1013</v>
      </c>
      <c r="O285" t="s">
        <v>696</v>
      </c>
      <c r="P285" t="s">
        <v>696</v>
      </c>
      <c r="Q285">
        <v>1</v>
      </c>
      <c r="X285">
        <v>35.64</v>
      </c>
      <c r="Y285">
        <v>0</v>
      </c>
      <c r="Z285">
        <v>0</v>
      </c>
      <c r="AA285">
        <v>0</v>
      </c>
      <c r="AB285">
        <v>7.97</v>
      </c>
      <c r="AC285">
        <v>0</v>
      </c>
      <c r="AD285">
        <v>1</v>
      </c>
      <c r="AE285">
        <v>1</v>
      </c>
      <c r="AF285" t="s">
        <v>3</v>
      </c>
      <c r="AG285">
        <v>35.64</v>
      </c>
      <c r="AH285">
        <v>2</v>
      </c>
      <c r="AI285">
        <v>94801566</v>
      </c>
      <c r="AJ285">
        <v>285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ROW(Source!A323)</f>
        <v>323</v>
      </c>
      <c r="B286">
        <v>94801567</v>
      </c>
      <c r="C286">
        <v>94801565</v>
      </c>
      <c r="D286">
        <v>121548</v>
      </c>
      <c r="E286">
        <v>1</v>
      </c>
      <c r="F286">
        <v>1</v>
      </c>
      <c r="G286">
        <v>1</v>
      </c>
      <c r="H286">
        <v>1</v>
      </c>
      <c r="I286" t="s">
        <v>28</v>
      </c>
      <c r="J286" t="s">
        <v>3</v>
      </c>
      <c r="K286" t="s">
        <v>705</v>
      </c>
      <c r="L286">
        <v>608254</v>
      </c>
      <c r="N286">
        <v>1013</v>
      </c>
      <c r="O286" t="s">
        <v>706</v>
      </c>
      <c r="P286" t="s">
        <v>706</v>
      </c>
      <c r="Q286">
        <v>1</v>
      </c>
      <c r="X286">
        <v>21.67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2</v>
      </c>
      <c r="AF286" t="s">
        <v>3</v>
      </c>
      <c r="AG286">
        <v>21.67</v>
      </c>
      <c r="AH286">
        <v>2</v>
      </c>
      <c r="AI286">
        <v>94801567</v>
      </c>
      <c r="AJ286">
        <v>286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ROW(Source!A323)</f>
        <v>323</v>
      </c>
      <c r="B287">
        <v>94801568</v>
      </c>
      <c r="C287">
        <v>94801565</v>
      </c>
      <c r="D287">
        <v>37802953</v>
      </c>
      <c r="E287">
        <v>1</v>
      </c>
      <c r="F287">
        <v>1</v>
      </c>
      <c r="G287">
        <v>1</v>
      </c>
      <c r="H287">
        <v>2</v>
      </c>
      <c r="I287" t="s">
        <v>707</v>
      </c>
      <c r="J287" t="s">
        <v>708</v>
      </c>
      <c r="K287" t="s">
        <v>709</v>
      </c>
      <c r="L287">
        <v>1368</v>
      </c>
      <c r="N287">
        <v>1011</v>
      </c>
      <c r="O287" t="s">
        <v>700</v>
      </c>
      <c r="P287" t="s">
        <v>700</v>
      </c>
      <c r="Q287">
        <v>1</v>
      </c>
      <c r="X287">
        <v>10.74</v>
      </c>
      <c r="Y287">
        <v>0</v>
      </c>
      <c r="Z287">
        <v>189</v>
      </c>
      <c r="AA287">
        <v>12.1</v>
      </c>
      <c r="AB287">
        <v>0</v>
      </c>
      <c r="AC287">
        <v>0</v>
      </c>
      <c r="AD287">
        <v>1</v>
      </c>
      <c r="AE287">
        <v>0</v>
      </c>
      <c r="AF287" t="s">
        <v>3</v>
      </c>
      <c r="AG287">
        <v>10.74</v>
      </c>
      <c r="AH287">
        <v>2</v>
      </c>
      <c r="AI287">
        <v>94801568</v>
      </c>
      <c r="AJ287">
        <v>287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ROW(Source!A323)</f>
        <v>323</v>
      </c>
      <c r="B288">
        <v>94801569</v>
      </c>
      <c r="C288">
        <v>94801565</v>
      </c>
      <c r="D288">
        <v>37803498</v>
      </c>
      <c r="E288">
        <v>1</v>
      </c>
      <c r="F288">
        <v>1</v>
      </c>
      <c r="G288">
        <v>1</v>
      </c>
      <c r="H288">
        <v>2</v>
      </c>
      <c r="I288" t="s">
        <v>710</v>
      </c>
      <c r="J288" t="s">
        <v>711</v>
      </c>
      <c r="K288" t="s">
        <v>712</v>
      </c>
      <c r="L288">
        <v>1368</v>
      </c>
      <c r="N288">
        <v>1011</v>
      </c>
      <c r="O288" t="s">
        <v>700</v>
      </c>
      <c r="P288" t="s">
        <v>700</v>
      </c>
      <c r="Q288">
        <v>1</v>
      </c>
      <c r="X288">
        <v>10.93</v>
      </c>
      <c r="Y288">
        <v>0</v>
      </c>
      <c r="Z288">
        <v>123.86</v>
      </c>
      <c r="AA288">
        <v>10.35</v>
      </c>
      <c r="AB288">
        <v>0</v>
      </c>
      <c r="AC288">
        <v>0</v>
      </c>
      <c r="AD288">
        <v>1</v>
      </c>
      <c r="AE288">
        <v>0</v>
      </c>
      <c r="AF288" t="s">
        <v>3</v>
      </c>
      <c r="AG288">
        <v>10.93</v>
      </c>
      <c r="AH288">
        <v>2</v>
      </c>
      <c r="AI288">
        <v>94801569</v>
      </c>
      <c r="AJ288">
        <v>288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ROW(Source!A323)</f>
        <v>323</v>
      </c>
      <c r="B289">
        <v>94801570</v>
      </c>
      <c r="C289">
        <v>94801565</v>
      </c>
      <c r="D289">
        <v>37804456</v>
      </c>
      <c r="E289">
        <v>1</v>
      </c>
      <c r="F289">
        <v>1</v>
      </c>
      <c r="G289">
        <v>1</v>
      </c>
      <c r="H289">
        <v>2</v>
      </c>
      <c r="I289" t="s">
        <v>713</v>
      </c>
      <c r="J289" t="s">
        <v>714</v>
      </c>
      <c r="K289" t="s">
        <v>715</v>
      </c>
      <c r="L289">
        <v>1368</v>
      </c>
      <c r="N289">
        <v>1011</v>
      </c>
      <c r="O289" t="s">
        <v>700</v>
      </c>
      <c r="P289" t="s">
        <v>700</v>
      </c>
      <c r="Q289">
        <v>1</v>
      </c>
      <c r="X289">
        <v>0.81</v>
      </c>
      <c r="Y289">
        <v>0</v>
      </c>
      <c r="Z289">
        <v>91.76</v>
      </c>
      <c r="AA289">
        <v>10.35</v>
      </c>
      <c r="AB289">
        <v>0</v>
      </c>
      <c r="AC289">
        <v>0</v>
      </c>
      <c r="AD289">
        <v>1</v>
      </c>
      <c r="AE289">
        <v>0</v>
      </c>
      <c r="AF289" t="s">
        <v>3</v>
      </c>
      <c r="AG289">
        <v>0.81</v>
      </c>
      <c r="AH289">
        <v>2</v>
      </c>
      <c r="AI289">
        <v>94801570</v>
      </c>
      <c r="AJ289">
        <v>289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ROW(Source!A323)</f>
        <v>323</v>
      </c>
      <c r="B290">
        <v>94801571</v>
      </c>
      <c r="C290">
        <v>94801565</v>
      </c>
      <c r="D290">
        <v>37751670</v>
      </c>
      <c r="E290">
        <v>1</v>
      </c>
      <c r="F290">
        <v>1</v>
      </c>
      <c r="G290">
        <v>1</v>
      </c>
      <c r="H290">
        <v>3</v>
      </c>
      <c r="I290" t="s">
        <v>716</v>
      </c>
      <c r="J290" t="s">
        <v>717</v>
      </c>
      <c r="K290" t="s">
        <v>718</v>
      </c>
      <c r="L290">
        <v>1301</v>
      </c>
      <c r="N290">
        <v>1003</v>
      </c>
      <c r="O290" t="s">
        <v>368</v>
      </c>
      <c r="P290" t="s">
        <v>368</v>
      </c>
      <c r="Q290">
        <v>1</v>
      </c>
      <c r="X290">
        <v>55.9</v>
      </c>
      <c r="Y290">
        <v>4.2300000000000004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3</v>
      </c>
      <c r="AG290">
        <v>55.9</v>
      </c>
      <c r="AH290">
        <v>2</v>
      </c>
      <c r="AI290">
        <v>94801571</v>
      </c>
      <c r="AJ290">
        <v>290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ROW(Source!A323)</f>
        <v>323</v>
      </c>
      <c r="B291">
        <v>94801572</v>
      </c>
      <c r="C291">
        <v>94801565</v>
      </c>
      <c r="D291">
        <v>37751161</v>
      </c>
      <c r="E291">
        <v>1</v>
      </c>
      <c r="F291">
        <v>1</v>
      </c>
      <c r="G291">
        <v>1</v>
      </c>
      <c r="H291">
        <v>3</v>
      </c>
      <c r="I291" t="s">
        <v>45</v>
      </c>
      <c r="J291" t="s">
        <v>48</v>
      </c>
      <c r="K291" t="s">
        <v>46</v>
      </c>
      <c r="L291">
        <v>1354</v>
      </c>
      <c r="N291">
        <v>1010</v>
      </c>
      <c r="O291" t="s">
        <v>47</v>
      </c>
      <c r="P291" t="s">
        <v>47</v>
      </c>
      <c r="Q291">
        <v>1</v>
      </c>
      <c r="X291">
        <v>100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 t="s">
        <v>3</v>
      </c>
      <c r="AG291">
        <v>100</v>
      </c>
      <c r="AH291">
        <v>2</v>
      </c>
      <c r="AI291">
        <v>94801572</v>
      </c>
      <c r="AJ291">
        <v>291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ROW(Source!A323)</f>
        <v>323</v>
      </c>
      <c r="B292">
        <v>94801573</v>
      </c>
      <c r="C292">
        <v>94801565</v>
      </c>
      <c r="D292">
        <v>37767799</v>
      </c>
      <c r="E292">
        <v>1</v>
      </c>
      <c r="F292">
        <v>1</v>
      </c>
      <c r="G292">
        <v>1</v>
      </c>
      <c r="H292">
        <v>3</v>
      </c>
      <c r="I292" t="s">
        <v>50</v>
      </c>
      <c r="J292" t="s">
        <v>53</v>
      </c>
      <c r="K292" t="s">
        <v>51</v>
      </c>
      <c r="L292">
        <v>1339</v>
      </c>
      <c r="N292">
        <v>1007</v>
      </c>
      <c r="O292" t="s">
        <v>52</v>
      </c>
      <c r="P292" t="s">
        <v>52</v>
      </c>
      <c r="Q292">
        <v>1</v>
      </c>
      <c r="X292">
        <v>6.34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 t="s">
        <v>3</v>
      </c>
      <c r="AG292">
        <v>6.34</v>
      </c>
      <c r="AH292">
        <v>2</v>
      </c>
      <c r="AI292">
        <v>94801573</v>
      </c>
      <c r="AJ292">
        <v>292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ROW(Source!A328)</f>
        <v>328</v>
      </c>
      <c r="B293">
        <v>94801668</v>
      </c>
      <c r="C293">
        <v>94801576</v>
      </c>
      <c r="D293">
        <v>23134955</v>
      </c>
      <c r="E293">
        <v>1</v>
      </c>
      <c r="F293">
        <v>1</v>
      </c>
      <c r="G293">
        <v>1</v>
      </c>
      <c r="H293">
        <v>1</v>
      </c>
      <c r="I293" t="s">
        <v>772</v>
      </c>
      <c r="J293" t="s">
        <v>3</v>
      </c>
      <c r="K293" t="s">
        <v>773</v>
      </c>
      <c r="L293">
        <v>1369</v>
      </c>
      <c r="N293">
        <v>1013</v>
      </c>
      <c r="O293" t="s">
        <v>696</v>
      </c>
      <c r="P293" t="s">
        <v>696</v>
      </c>
      <c r="Q293">
        <v>1</v>
      </c>
      <c r="X293">
        <v>15.79</v>
      </c>
      <c r="Y293">
        <v>0</v>
      </c>
      <c r="Z293">
        <v>0</v>
      </c>
      <c r="AA293">
        <v>0</v>
      </c>
      <c r="AB293">
        <v>8.17</v>
      </c>
      <c r="AC293">
        <v>0</v>
      </c>
      <c r="AD293">
        <v>1</v>
      </c>
      <c r="AE293">
        <v>1</v>
      </c>
      <c r="AF293" t="s">
        <v>3</v>
      </c>
      <c r="AG293">
        <v>15.79</v>
      </c>
      <c r="AH293">
        <v>2</v>
      </c>
      <c r="AI293">
        <v>94801668</v>
      </c>
      <c r="AJ293">
        <v>293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ROW(Source!A328)</f>
        <v>328</v>
      </c>
      <c r="B294">
        <v>94801669</v>
      </c>
      <c r="C294">
        <v>94801576</v>
      </c>
      <c r="D294">
        <v>121548</v>
      </c>
      <c r="E294">
        <v>1</v>
      </c>
      <c r="F294">
        <v>1</v>
      </c>
      <c r="G294">
        <v>1</v>
      </c>
      <c r="H294">
        <v>1</v>
      </c>
      <c r="I294" t="s">
        <v>28</v>
      </c>
      <c r="J294" t="s">
        <v>3</v>
      </c>
      <c r="K294" t="s">
        <v>705</v>
      </c>
      <c r="L294">
        <v>608254</v>
      </c>
      <c r="N294">
        <v>1013</v>
      </c>
      <c r="O294" t="s">
        <v>706</v>
      </c>
      <c r="P294" t="s">
        <v>706</v>
      </c>
      <c r="Q294">
        <v>1</v>
      </c>
      <c r="X294">
        <v>1.56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2</v>
      </c>
      <c r="AF294" t="s">
        <v>3</v>
      </c>
      <c r="AG294">
        <v>1.56</v>
      </c>
      <c r="AH294">
        <v>2</v>
      </c>
      <c r="AI294">
        <v>94801669</v>
      </c>
      <c r="AJ294">
        <v>294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ROW(Source!A328)</f>
        <v>328</v>
      </c>
      <c r="B295">
        <v>94801670</v>
      </c>
      <c r="C295">
        <v>94801576</v>
      </c>
      <c r="D295">
        <v>37802375</v>
      </c>
      <c r="E295">
        <v>1</v>
      </c>
      <c r="F295">
        <v>1</v>
      </c>
      <c r="G295">
        <v>1</v>
      </c>
      <c r="H295">
        <v>2</v>
      </c>
      <c r="I295" t="s">
        <v>821</v>
      </c>
      <c r="J295" t="s">
        <v>822</v>
      </c>
      <c r="K295" t="s">
        <v>823</v>
      </c>
      <c r="L295">
        <v>1368</v>
      </c>
      <c r="N295">
        <v>1011</v>
      </c>
      <c r="O295" t="s">
        <v>700</v>
      </c>
      <c r="P295" t="s">
        <v>700</v>
      </c>
      <c r="Q295">
        <v>1</v>
      </c>
      <c r="X295">
        <v>0.1</v>
      </c>
      <c r="Y295">
        <v>0</v>
      </c>
      <c r="Z295">
        <v>159.85</v>
      </c>
      <c r="AA295">
        <v>13.78</v>
      </c>
      <c r="AB295">
        <v>0</v>
      </c>
      <c r="AC295">
        <v>0</v>
      </c>
      <c r="AD295">
        <v>1</v>
      </c>
      <c r="AE295">
        <v>0</v>
      </c>
      <c r="AF295" t="s">
        <v>3</v>
      </c>
      <c r="AG295">
        <v>0.1</v>
      </c>
      <c r="AH295">
        <v>2</v>
      </c>
      <c r="AI295">
        <v>94801670</v>
      </c>
      <c r="AJ295">
        <v>295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ROW(Source!A328)</f>
        <v>328</v>
      </c>
      <c r="B296">
        <v>94801671</v>
      </c>
      <c r="C296">
        <v>94801576</v>
      </c>
      <c r="D296">
        <v>37802443</v>
      </c>
      <c r="E296">
        <v>1</v>
      </c>
      <c r="F296">
        <v>1</v>
      </c>
      <c r="G296">
        <v>1</v>
      </c>
      <c r="H296">
        <v>2</v>
      </c>
      <c r="I296" t="s">
        <v>721</v>
      </c>
      <c r="J296" t="s">
        <v>722</v>
      </c>
      <c r="K296" t="s">
        <v>723</v>
      </c>
      <c r="L296">
        <v>1368</v>
      </c>
      <c r="N296">
        <v>1011</v>
      </c>
      <c r="O296" t="s">
        <v>700</v>
      </c>
      <c r="P296" t="s">
        <v>700</v>
      </c>
      <c r="Q296">
        <v>1</v>
      </c>
      <c r="X296">
        <v>0.13</v>
      </c>
      <c r="Y296">
        <v>0</v>
      </c>
      <c r="Z296">
        <v>124.14</v>
      </c>
      <c r="AA296">
        <v>12.1</v>
      </c>
      <c r="AB296">
        <v>0</v>
      </c>
      <c r="AC296">
        <v>0</v>
      </c>
      <c r="AD296">
        <v>1</v>
      </c>
      <c r="AE296">
        <v>0</v>
      </c>
      <c r="AF296" t="s">
        <v>3</v>
      </c>
      <c r="AG296">
        <v>0.13</v>
      </c>
      <c r="AH296">
        <v>2</v>
      </c>
      <c r="AI296">
        <v>94801671</v>
      </c>
      <c r="AJ296">
        <v>296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ROW(Source!A328)</f>
        <v>328</v>
      </c>
      <c r="B297">
        <v>94801672</v>
      </c>
      <c r="C297">
        <v>94801576</v>
      </c>
      <c r="D297">
        <v>37802465</v>
      </c>
      <c r="E297">
        <v>1</v>
      </c>
      <c r="F297">
        <v>1</v>
      </c>
      <c r="G297">
        <v>1</v>
      </c>
      <c r="H297">
        <v>2</v>
      </c>
      <c r="I297" t="s">
        <v>920</v>
      </c>
      <c r="J297" t="s">
        <v>921</v>
      </c>
      <c r="K297" t="s">
        <v>922</v>
      </c>
      <c r="L297">
        <v>1368</v>
      </c>
      <c r="N297">
        <v>1011</v>
      </c>
      <c r="O297" t="s">
        <v>700</v>
      </c>
      <c r="P297" t="s">
        <v>700</v>
      </c>
      <c r="Q297">
        <v>1</v>
      </c>
      <c r="X297">
        <v>1.33</v>
      </c>
      <c r="Y297">
        <v>0</v>
      </c>
      <c r="Z297">
        <v>187.45</v>
      </c>
      <c r="AA297">
        <v>12.9</v>
      </c>
      <c r="AB297">
        <v>0</v>
      </c>
      <c r="AC297">
        <v>0</v>
      </c>
      <c r="AD297">
        <v>1</v>
      </c>
      <c r="AE297">
        <v>0</v>
      </c>
      <c r="AF297" t="s">
        <v>3</v>
      </c>
      <c r="AG297">
        <v>1.33</v>
      </c>
      <c r="AH297">
        <v>2</v>
      </c>
      <c r="AI297">
        <v>94801672</v>
      </c>
      <c r="AJ297">
        <v>297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ROW(Source!A328)</f>
        <v>328</v>
      </c>
      <c r="B298">
        <v>94801673</v>
      </c>
      <c r="C298">
        <v>94801576</v>
      </c>
      <c r="D298">
        <v>37802659</v>
      </c>
      <c r="E298">
        <v>1</v>
      </c>
      <c r="F298">
        <v>1</v>
      </c>
      <c r="G298">
        <v>1</v>
      </c>
      <c r="H298">
        <v>2</v>
      </c>
      <c r="I298" t="s">
        <v>777</v>
      </c>
      <c r="J298" t="s">
        <v>778</v>
      </c>
      <c r="K298" t="s">
        <v>779</v>
      </c>
      <c r="L298">
        <v>1368</v>
      </c>
      <c r="N298">
        <v>1011</v>
      </c>
      <c r="O298" t="s">
        <v>700</v>
      </c>
      <c r="P298" t="s">
        <v>700</v>
      </c>
      <c r="Q298">
        <v>1</v>
      </c>
      <c r="X298">
        <v>0.67</v>
      </c>
      <c r="Y298">
        <v>0</v>
      </c>
      <c r="Z298">
        <v>1.43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3</v>
      </c>
      <c r="AG298">
        <v>0.67</v>
      </c>
      <c r="AH298">
        <v>2</v>
      </c>
      <c r="AI298">
        <v>94801673</v>
      </c>
      <c r="AJ298">
        <v>298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ROW(Source!A328)</f>
        <v>328</v>
      </c>
      <c r="B299">
        <v>94801674</v>
      </c>
      <c r="C299">
        <v>94801576</v>
      </c>
      <c r="D299">
        <v>37802669</v>
      </c>
      <c r="E299">
        <v>1</v>
      </c>
      <c r="F299">
        <v>1</v>
      </c>
      <c r="G299">
        <v>1</v>
      </c>
      <c r="H299">
        <v>2</v>
      </c>
      <c r="I299" t="s">
        <v>833</v>
      </c>
      <c r="J299" t="s">
        <v>834</v>
      </c>
      <c r="K299" t="s">
        <v>835</v>
      </c>
      <c r="L299">
        <v>1368</v>
      </c>
      <c r="N299">
        <v>1011</v>
      </c>
      <c r="O299" t="s">
        <v>700</v>
      </c>
      <c r="P299" t="s">
        <v>700</v>
      </c>
      <c r="Q299">
        <v>1</v>
      </c>
      <c r="X299">
        <v>0.57999999999999996</v>
      </c>
      <c r="Y299">
        <v>0</v>
      </c>
      <c r="Z299">
        <v>9.6999999999999993</v>
      </c>
      <c r="AA299">
        <v>0</v>
      </c>
      <c r="AB299">
        <v>0</v>
      </c>
      <c r="AC299">
        <v>0</v>
      </c>
      <c r="AD299">
        <v>1</v>
      </c>
      <c r="AE299">
        <v>0</v>
      </c>
      <c r="AF299" t="s">
        <v>3</v>
      </c>
      <c r="AG299">
        <v>0.57999999999999996</v>
      </c>
      <c r="AH299">
        <v>2</v>
      </c>
      <c r="AI299">
        <v>94801674</v>
      </c>
      <c r="AJ299">
        <v>299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ROW(Source!A328)</f>
        <v>328</v>
      </c>
      <c r="B300">
        <v>94801675</v>
      </c>
      <c r="C300">
        <v>94801576</v>
      </c>
      <c r="D300">
        <v>37804456</v>
      </c>
      <c r="E300">
        <v>1</v>
      </c>
      <c r="F300">
        <v>1</v>
      </c>
      <c r="G300">
        <v>1</v>
      </c>
      <c r="H300">
        <v>2</v>
      </c>
      <c r="I300" t="s">
        <v>713</v>
      </c>
      <c r="J300" t="s">
        <v>714</v>
      </c>
      <c r="K300" t="s">
        <v>715</v>
      </c>
      <c r="L300">
        <v>1368</v>
      </c>
      <c r="N300">
        <v>1011</v>
      </c>
      <c r="O300" t="s">
        <v>700</v>
      </c>
      <c r="P300" t="s">
        <v>700</v>
      </c>
      <c r="Q300">
        <v>1</v>
      </c>
      <c r="X300">
        <v>0.19</v>
      </c>
      <c r="Y300">
        <v>0</v>
      </c>
      <c r="Z300">
        <v>91.76</v>
      </c>
      <c r="AA300">
        <v>10.35</v>
      </c>
      <c r="AB300">
        <v>0</v>
      </c>
      <c r="AC300">
        <v>0</v>
      </c>
      <c r="AD300">
        <v>1</v>
      </c>
      <c r="AE300">
        <v>0</v>
      </c>
      <c r="AF300" t="s">
        <v>3</v>
      </c>
      <c r="AG300">
        <v>0.19</v>
      </c>
      <c r="AH300">
        <v>2</v>
      </c>
      <c r="AI300">
        <v>94801675</v>
      </c>
      <c r="AJ300">
        <v>300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ROW(Source!A328)</f>
        <v>328</v>
      </c>
      <c r="B301">
        <v>94801676</v>
      </c>
      <c r="C301">
        <v>94801576</v>
      </c>
      <c r="D301">
        <v>37730053</v>
      </c>
      <c r="E301">
        <v>1</v>
      </c>
      <c r="F301">
        <v>1</v>
      </c>
      <c r="G301">
        <v>1</v>
      </c>
      <c r="H301">
        <v>3</v>
      </c>
      <c r="I301" t="s">
        <v>839</v>
      </c>
      <c r="J301" t="s">
        <v>840</v>
      </c>
      <c r="K301" t="s">
        <v>841</v>
      </c>
      <c r="L301">
        <v>1348</v>
      </c>
      <c r="N301">
        <v>1009</v>
      </c>
      <c r="O301" t="s">
        <v>170</v>
      </c>
      <c r="P301" t="s">
        <v>170</v>
      </c>
      <c r="Q301">
        <v>1000</v>
      </c>
      <c r="X301">
        <v>1E-4</v>
      </c>
      <c r="Y301">
        <v>37900</v>
      </c>
      <c r="Z301">
        <v>0</v>
      </c>
      <c r="AA301">
        <v>0</v>
      </c>
      <c r="AB301">
        <v>0</v>
      </c>
      <c r="AC301">
        <v>0</v>
      </c>
      <c r="AD301">
        <v>1</v>
      </c>
      <c r="AE301">
        <v>0</v>
      </c>
      <c r="AF301" t="s">
        <v>3</v>
      </c>
      <c r="AG301">
        <v>1E-4</v>
      </c>
      <c r="AH301">
        <v>2</v>
      </c>
      <c r="AI301">
        <v>94801676</v>
      </c>
      <c r="AJ301">
        <v>301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ROW(Source!A328)</f>
        <v>328</v>
      </c>
      <c r="B302">
        <v>94801677</v>
      </c>
      <c r="C302">
        <v>94801576</v>
      </c>
      <c r="D302">
        <v>37729659</v>
      </c>
      <c r="E302">
        <v>1</v>
      </c>
      <c r="F302">
        <v>1</v>
      </c>
      <c r="G302">
        <v>1</v>
      </c>
      <c r="H302">
        <v>3</v>
      </c>
      <c r="I302" t="s">
        <v>187</v>
      </c>
      <c r="J302" t="s">
        <v>189</v>
      </c>
      <c r="K302" t="s">
        <v>188</v>
      </c>
      <c r="L302">
        <v>1339</v>
      </c>
      <c r="N302">
        <v>1007</v>
      </c>
      <c r="O302" t="s">
        <v>52</v>
      </c>
      <c r="P302" t="s">
        <v>52</v>
      </c>
      <c r="Q302">
        <v>1</v>
      </c>
      <c r="X302">
        <v>0.5</v>
      </c>
      <c r="Y302">
        <v>6.22</v>
      </c>
      <c r="Z302">
        <v>0</v>
      </c>
      <c r="AA302">
        <v>0</v>
      </c>
      <c r="AB302">
        <v>0</v>
      </c>
      <c r="AC302">
        <v>0</v>
      </c>
      <c r="AD302">
        <v>1</v>
      </c>
      <c r="AE302">
        <v>0</v>
      </c>
      <c r="AF302" t="s">
        <v>3</v>
      </c>
      <c r="AG302">
        <v>0.5</v>
      </c>
      <c r="AH302">
        <v>2</v>
      </c>
      <c r="AI302">
        <v>94801677</v>
      </c>
      <c r="AJ302">
        <v>302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ROW(Source!A328)</f>
        <v>328</v>
      </c>
      <c r="B303">
        <v>94801678</v>
      </c>
      <c r="C303">
        <v>94801576</v>
      </c>
      <c r="D303">
        <v>37736264</v>
      </c>
      <c r="E303">
        <v>1</v>
      </c>
      <c r="F303">
        <v>1</v>
      </c>
      <c r="G303">
        <v>1</v>
      </c>
      <c r="H303">
        <v>3</v>
      </c>
      <c r="I303" t="s">
        <v>842</v>
      </c>
      <c r="J303" t="s">
        <v>843</v>
      </c>
      <c r="K303" t="s">
        <v>844</v>
      </c>
      <c r="L303">
        <v>1348</v>
      </c>
      <c r="N303">
        <v>1009</v>
      </c>
      <c r="O303" t="s">
        <v>170</v>
      </c>
      <c r="P303" t="s">
        <v>170</v>
      </c>
      <c r="Q303">
        <v>1000</v>
      </c>
      <c r="X303">
        <v>3.0000000000000001E-5</v>
      </c>
      <c r="Y303">
        <v>4455</v>
      </c>
      <c r="Z303">
        <v>0</v>
      </c>
      <c r="AA303">
        <v>0</v>
      </c>
      <c r="AB303">
        <v>0</v>
      </c>
      <c r="AC303">
        <v>0</v>
      </c>
      <c r="AD303">
        <v>1</v>
      </c>
      <c r="AE303">
        <v>0</v>
      </c>
      <c r="AF303" t="s">
        <v>3</v>
      </c>
      <c r="AG303">
        <v>3.0000000000000001E-5</v>
      </c>
      <c r="AH303">
        <v>2</v>
      </c>
      <c r="AI303">
        <v>94801678</v>
      </c>
      <c r="AJ303">
        <v>303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ROW(Source!A328)</f>
        <v>328</v>
      </c>
      <c r="B304">
        <v>94801679</v>
      </c>
      <c r="C304">
        <v>94801576</v>
      </c>
      <c r="D304">
        <v>37736447</v>
      </c>
      <c r="E304">
        <v>1</v>
      </c>
      <c r="F304">
        <v>1</v>
      </c>
      <c r="G304">
        <v>1</v>
      </c>
      <c r="H304">
        <v>3</v>
      </c>
      <c r="I304" t="s">
        <v>845</v>
      </c>
      <c r="J304" t="s">
        <v>846</v>
      </c>
      <c r="K304" t="s">
        <v>847</v>
      </c>
      <c r="L304">
        <v>1348</v>
      </c>
      <c r="N304">
        <v>1009</v>
      </c>
      <c r="O304" t="s">
        <v>170</v>
      </c>
      <c r="P304" t="s">
        <v>170</v>
      </c>
      <c r="Q304">
        <v>1000</v>
      </c>
      <c r="X304">
        <v>1.9400000000000001E-3</v>
      </c>
      <c r="Y304">
        <v>5191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3</v>
      </c>
      <c r="AG304">
        <v>1.9400000000000001E-3</v>
      </c>
      <c r="AH304">
        <v>2</v>
      </c>
      <c r="AI304">
        <v>94801679</v>
      </c>
      <c r="AJ304">
        <v>304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ROW(Source!A328)</f>
        <v>328</v>
      </c>
      <c r="B305">
        <v>94801680</v>
      </c>
      <c r="C305">
        <v>94801576</v>
      </c>
      <c r="D305">
        <v>37736609</v>
      </c>
      <c r="E305">
        <v>1</v>
      </c>
      <c r="F305">
        <v>1</v>
      </c>
      <c r="G305">
        <v>1</v>
      </c>
      <c r="H305">
        <v>3</v>
      </c>
      <c r="I305" t="s">
        <v>912</v>
      </c>
      <c r="J305" t="s">
        <v>913</v>
      </c>
      <c r="K305" t="s">
        <v>914</v>
      </c>
      <c r="L305">
        <v>1348</v>
      </c>
      <c r="N305">
        <v>1009</v>
      </c>
      <c r="O305" t="s">
        <v>170</v>
      </c>
      <c r="P305" t="s">
        <v>170</v>
      </c>
      <c r="Q305">
        <v>1000</v>
      </c>
      <c r="X305">
        <v>2.5999999999999999E-3</v>
      </c>
      <c r="Y305">
        <v>9750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3</v>
      </c>
      <c r="AG305">
        <v>2.5999999999999999E-3</v>
      </c>
      <c r="AH305">
        <v>2</v>
      </c>
      <c r="AI305">
        <v>94801680</v>
      </c>
      <c r="AJ305">
        <v>305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ROW(Source!A328)</f>
        <v>328</v>
      </c>
      <c r="B306">
        <v>94801681</v>
      </c>
      <c r="C306">
        <v>94801576</v>
      </c>
      <c r="D306">
        <v>37736859</v>
      </c>
      <c r="E306">
        <v>1</v>
      </c>
      <c r="F306">
        <v>1</v>
      </c>
      <c r="G306">
        <v>1</v>
      </c>
      <c r="H306">
        <v>3</v>
      </c>
      <c r="I306" t="s">
        <v>252</v>
      </c>
      <c r="J306" t="s">
        <v>254</v>
      </c>
      <c r="K306" t="s">
        <v>253</v>
      </c>
      <c r="L306">
        <v>1348</v>
      </c>
      <c r="N306">
        <v>1009</v>
      </c>
      <c r="O306" t="s">
        <v>170</v>
      </c>
      <c r="P306" t="s">
        <v>170</v>
      </c>
      <c r="Q306">
        <v>1000</v>
      </c>
      <c r="X306">
        <v>3.0000000000000001E-3</v>
      </c>
      <c r="Y306">
        <v>9040.01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3</v>
      </c>
      <c r="AG306">
        <v>3.0000000000000001E-3</v>
      </c>
      <c r="AH306">
        <v>2</v>
      </c>
      <c r="AI306">
        <v>94801681</v>
      </c>
      <c r="AJ306">
        <v>306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ROW(Source!A328)</f>
        <v>328</v>
      </c>
      <c r="B307">
        <v>94801682</v>
      </c>
      <c r="C307">
        <v>94801576</v>
      </c>
      <c r="D307">
        <v>37736933</v>
      </c>
      <c r="E307">
        <v>1</v>
      </c>
      <c r="F307">
        <v>1</v>
      </c>
      <c r="G307">
        <v>1</v>
      </c>
      <c r="H307">
        <v>3</v>
      </c>
      <c r="I307" t="s">
        <v>851</v>
      </c>
      <c r="J307" t="s">
        <v>852</v>
      </c>
      <c r="K307" t="s">
        <v>853</v>
      </c>
      <c r="L307">
        <v>1348</v>
      </c>
      <c r="N307">
        <v>1009</v>
      </c>
      <c r="O307" t="s">
        <v>170</v>
      </c>
      <c r="P307" t="s">
        <v>170</v>
      </c>
      <c r="Q307">
        <v>1000</v>
      </c>
      <c r="X307">
        <v>1.0000000000000001E-5</v>
      </c>
      <c r="Y307">
        <v>12936</v>
      </c>
      <c r="Z307">
        <v>0</v>
      </c>
      <c r="AA307">
        <v>0</v>
      </c>
      <c r="AB307">
        <v>0</v>
      </c>
      <c r="AC307">
        <v>0</v>
      </c>
      <c r="AD307">
        <v>1</v>
      </c>
      <c r="AE307">
        <v>0</v>
      </c>
      <c r="AF307" t="s">
        <v>3</v>
      </c>
      <c r="AG307">
        <v>1.0000000000000001E-5</v>
      </c>
      <c r="AH307">
        <v>2</v>
      </c>
      <c r="AI307">
        <v>94801682</v>
      </c>
      <c r="AJ307">
        <v>307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ROW(Source!A328)</f>
        <v>328</v>
      </c>
      <c r="B308">
        <v>94801683</v>
      </c>
      <c r="C308">
        <v>94801576</v>
      </c>
      <c r="D308">
        <v>37729662</v>
      </c>
      <c r="E308">
        <v>1</v>
      </c>
      <c r="F308">
        <v>1</v>
      </c>
      <c r="G308">
        <v>1</v>
      </c>
      <c r="H308">
        <v>3</v>
      </c>
      <c r="I308" t="s">
        <v>812</v>
      </c>
      <c r="J308" t="s">
        <v>813</v>
      </c>
      <c r="K308" t="s">
        <v>814</v>
      </c>
      <c r="L308">
        <v>1346</v>
      </c>
      <c r="N308">
        <v>1009</v>
      </c>
      <c r="O308" t="s">
        <v>192</v>
      </c>
      <c r="P308" t="s">
        <v>192</v>
      </c>
      <c r="Q308">
        <v>1</v>
      </c>
      <c r="X308">
        <v>0.15</v>
      </c>
      <c r="Y308">
        <v>6.62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0</v>
      </c>
      <c r="AF308" t="s">
        <v>3</v>
      </c>
      <c r="AG308">
        <v>0.15</v>
      </c>
      <c r="AH308">
        <v>2</v>
      </c>
      <c r="AI308">
        <v>94801683</v>
      </c>
      <c r="AJ308">
        <v>308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ROW(Source!A328)</f>
        <v>328</v>
      </c>
      <c r="B309">
        <v>94801684</v>
      </c>
      <c r="C309">
        <v>94801576</v>
      </c>
      <c r="D309">
        <v>37732807</v>
      </c>
      <c r="E309">
        <v>1</v>
      </c>
      <c r="F309">
        <v>1</v>
      </c>
      <c r="G309">
        <v>1</v>
      </c>
      <c r="H309">
        <v>3</v>
      </c>
      <c r="I309" t="s">
        <v>854</v>
      </c>
      <c r="J309" t="s">
        <v>855</v>
      </c>
      <c r="K309" t="s">
        <v>856</v>
      </c>
      <c r="L309">
        <v>1348</v>
      </c>
      <c r="N309">
        <v>1009</v>
      </c>
      <c r="O309" t="s">
        <v>170</v>
      </c>
      <c r="P309" t="s">
        <v>170</v>
      </c>
      <c r="Q309">
        <v>1000</v>
      </c>
      <c r="X309">
        <v>5.9999999999999995E-4</v>
      </c>
      <c r="Y309">
        <v>9420</v>
      </c>
      <c r="Z309">
        <v>0</v>
      </c>
      <c r="AA309">
        <v>0</v>
      </c>
      <c r="AB309">
        <v>0</v>
      </c>
      <c r="AC309">
        <v>0</v>
      </c>
      <c r="AD309">
        <v>1</v>
      </c>
      <c r="AE309">
        <v>0</v>
      </c>
      <c r="AF309" t="s">
        <v>3</v>
      </c>
      <c r="AG309">
        <v>5.9999999999999995E-4</v>
      </c>
      <c r="AH309">
        <v>2</v>
      </c>
      <c r="AI309">
        <v>94801684</v>
      </c>
      <c r="AJ309">
        <v>309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ROW(Source!A328)</f>
        <v>328</v>
      </c>
      <c r="B310">
        <v>94801685</v>
      </c>
      <c r="C310">
        <v>94801576</v>
      </c>
      <c r="D310">
        <v>37738047</v>
      </c>
      <c r="E310">
        <v>1</v>
      </c>
      <c r="F310">
        <v>1</v>
      </c>
      <c r="G310">
        <v>1</v>
      </c>
      <c r="H310">
        <v>3</v>
      </c>
      <c r="I310" t="s">
        <v>857</v>
      </c>
      <c r="J310" t="s">
        <v>858</v>
      </c>
      <c r="K310" t="s">
        <v>859</v>
      </c>
      <c r="L310">
        <v>1339</v>
      </c>
      <c r="N310">
        <v>1007</v>
      </c>
      <c r="O310" t="s">
        <v>52</v>
      </c>
      <c r="P310" t="s">
        <v>52</v>
      </c>
      <c r="Q310">
        <v>1</v>
      </c>
      <c r="X310">
        <v>1.0300000000000001E-3</v>
      </c>
      <c r="Y310">
        <v>1421</v>
      </c>
      <c r="Z310">
        <v>0</v>
      </c>
      <c r="AA310">
        <v>0</v>
      </c>
      <c r="AB310">
        <v>0</v>
      </c>
      <c r="AC310">
        <v>0</v>
      </c>
      <c r="AD310">
        <v>1</v>
      </c>
      <c r="AE310">
        <v>0</v>
      </c>
      <c r="AF310" t="s">
        <v>3</v>
      </c>
      <c r="AG310">
        <v>1.0300000000000001E-3</v>
      </c>
      <c r="AH310">
        <v>2</v>
      </c>
      <c r="AI310">
        <v>94801685</v>
      </c>
      <c r="AJ310">
        <v>310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ROW(Source!A328)</f>
        <v>328</v>
      </c>
      <c r="B311">
        <v>94801686</v>
      </c>
      <c r="C311">
        <v>94801576</v>
      </c>
      <c r="D311">
        <v>37744698</v>
      </c>
      <c r="E311">
        <v>1</v>
      </c>
      <c r="F311">
        <v>1</v>
      </c>
      <c r="G311">
        <v>1</v>
      </c>
      <c r="H311">
        <v>3</v>
      </c>
      <c r="I311" t="s">
        <v>178</v>
      </c>
      <c r="J311" t="s">
        <v>180</v>
      </c>
      <c r="K311" t="s">
        <v>179</v>
      </c>
      <c r="L311">
        <v>1348</v>
      </c>
      <c r="N311">
        <v>1009</v>
      </c>
      <c r="O311" t="s">
        <v>170</v>
      </c>
      <c r="P311" t="s">
        <v>170</v>
      </c>
      <c r="Q311">
        <v>1000</v>
      </c>
      <c r="X311">
        <v>3.1E-4</v>
      </c>
      <c r="Y311">
        <v>15620</v>
      </c>
      <c r="Z311">
        <v>0</v>
      </c>
      <c r="AA311">
        <v>0</v>
      </c>
      <c r="AB311">
        <v>0</v>
      </c>
      <c r="AC311">
        <v>0</v>
      </c>
      <c r="AD311">
        <v>1</v>
      </c>
      <c r="AE311">
        <v>0</v>
      </c>
      <c r="AF311" t="s">
        <v>3</v>
      </c>
      <c r="AG311">
        <v>3.1E-4</v>
      </c>
      <c r="AH311">
        <v>2</v>
      </c>
      <c r="AI311">
        <v>94801686</v>
      </c>
      <c r="AJ311">
        <v>311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ROW(Source!A328)</f>
        <v>328</v>
      </c>
      <c r="B312">
        <v>94801687</v>
      </c>
      <c r="C312">
        <v>94801576</v>
      </c>
      <c r="D312">
        <v>37751308</v>
      </c>
      <c r="E312">
        <v>1</v>
      </c>
      <c r="F312">
        <v>1</v>
      </c>
      <c r="G312">
        <v>1</v>
      </c>
      <c r="H312">
        <v>3</v>
      </c>
      <c r="I312" t="s">
        <v>860</v>
      </c>
      <c r="J312" t="s">
        <v>861</v>
      </c>
      <c r="K312" t="s">
        <v>862</v>
      </c>
      <c r="L312">
        <v>1348</v>
      </c>
      <c r="N312">
        <v>1009</v>
      </c>
      <c r="O312" t="s">
        <v>170</v>
      </c>
      <c r="P312" t="s">
        <v>170</v>
      </c>
      <c r="Q312">
        <v>1000</v>
      </c>
      <c r="X312">
        <v>1E-4</v>
      </c>
      <c r="Y312">
        <v>7712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3</v>
      </c>
      <c r="AG312">
        <v>1E-4</v>
      </c>
      <c r="AH312">
        <v>2</v>
      </c>
      <c r="AI312">
        <v>94801687</v>
      </c>
      <c r="AJ312">
        <v>312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ROW(Source!A328)</f>
        <v>328</v>
      </c>
      <c r="B313">
        <v>94801688</v>
      </c>
      <c r="C313">
        <v>94801576</v>
      </c>
      <c r="D313">
        <v>37750153</v>
      </c>
      <c r="E313">
        <v>1</v>
      </c>
      <c r="F313">
        <v>1</v>
      </c>
      <c r="G313">
        <v>1</v>
      </c>
      <c r="H313">
        <v>3</v>
      </c>
      <c r="I313" t="s">
        <v>256</v>
      </c>
      <c r="J313" t="s">
        <v>258</v>
      </c>
      <c r="K313" t="s">
        <v>257</v>
      </c>
      <c r="L313">
        <v>1348</v>
      </c>
      <c r="N313">
        <v>1009</v>
      </c>
      <c r="O313" t="s">
        <v>170</v>
      </c>
      <c r="P313" t="s">
        <v>170</v>
      </c>
      <c r="Q313">
        <v>1000</v>
      </c>
      <c r="X313">
        <v>1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 t="s">
        <v>3</v>
      </c>
      <c r="AG313">
        <v>1</v>
      </c>
      <c r="AH313">
        <v>2</v>
      </c>
      <c r="AI313">
        <v>94801688</v>
      </c>
      <c r="AJ313">
        <v>313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ROW(Source!A328)</f>
        <v>328</v>
      </c>
      <c r="B314">
        <v>94801689</v>
      </c>
      <c r="C314">
        <v>94801576</v>
      </c>
      <c r="D314">
        <v>37790931</v>
      </c>
      <c r="E314">
        <v>1</v>
      </c>
      <c r="F314">
        <v>1</v>
      </c>
      <c r="G314">
        <v>1</v>
      </c>
      <c r="H314">
        <v>3</v>
      </c>
      <c r="I314" t="s">
        <v>863</v>
      </c>
      <c r="J314" t="s">
        <v>864</v>
      </c>
      <c r="K314" t="s">
        <v>865</v>
      </c>
      <c r="L314">
        <v>1302</v>
      </c>
      <c r="N314">
        <v>1003</v>
      </c>
      <c r="O314" t="s">
        <v>866</v>
      </c>
      <c r="P314" t="s">
        <v>866</v>
      </c>
      <c r="Q314">
        <v>10</v>
      </c>
      <c r="X314">
        <v>1.8700000000000001E-2</v>
      </c>
      <c r="Y314">
        <v>71.5</v>
      </c>
      <c r="Z314">
        <v>0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3</v>
      </c>
      <c r="AG314">
        <v>1.8700000000000001E-2</v>
      </c>
      <c r="AH314">
        <v>2</v>
      </c>
      <c r="AI314">
        <v>94801689</v>
      </c>
      <c r="AJ314">
        <v>314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ROW(Source!A331)</f>
        <v>331</v>
      </c>
      <c r="B315">
        <v>94801692</v>
      </c>
      <c r="C315">
        <v>94801691</v>
      </c>
      <c r="D315">
        <v>23134955</v>
      </c>
      <c r="E315">
        <v>1</v>
      </c>
      <c r="F315">
        <v>1</v>
      </c>
      <c r="G315">
        <v>1</v>
      </c>
      <c r="H315">
        <v>1</v>
      </c>
      <c r="I315" t="s">
        <v>772</v>
      </c>
      <c r="J315" t="s">
        <v>3</v>
      </c>
      <c r="K315" t="s">
        <v>773</v>
      </c>
      <c r="L315">
        <v>1369</v>
      </c>
      <c r="N315">
        <v>1013</v>
      </c>
      <c r="O315" t="s">
        <v>696</v>
      </c>
      <c r="P315" t="s">
        <v>696</v>
      </c>
      <c r="Q315">
        <v>1</v>
      </c>
      <c r="X315">
        <v>35.5</v>
      </c>
      <c r="Y315">
        <v>0</v>
      </c>
      <c r="Z315">
        <v>0</v>
      </c>
      <c r="AA315">
        <v>0</v>
      </c>
      <c r="AB315">
        <v>8.17</v>
      </c>
      <c r="AC315">
        <v>0</v>
      </c>
      <c r="AD315">
        <v>1</v>
      </c>
      <c r="AE315">
        <v>1</v>
      </c>
      <c r="AF315" t="s">
        <v>3</v>
      </c>
      <c r="AG315">
        <v>35.5</v>
      </c>
      <c r="AH315">
        <v>2</v>
      </c>
      <c r="AI315">
        <v>94801692</v>
      </c>
      <c r="AJ315">
        <v>315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ROW(Source!A331)</f>
        <v>331</v>
      </c>
      <c r="B316">
        <v>94801693</v>
      </c>
      <c r="C316">
        <v>94801691</v>
      </c>
      <c r="D316">
        <v>121548</v>
      </c>
      <c r="E316">
        <v>1</v>
      </c>
      <c r="F316">
        <v>1</v>
      </c>
      <c r="G316">
        <v>1</v>
      </c>
      <c r="H316">
        <v>1</v>
      </c>
      <c r="I316" t="s">
        <v>28</v>
      </c>
      <c r="J316" t="s">
        <v>3</v>
      </c>
      <c r="K316" t="s">
        <v>705</v>
      </c>
      <c r="L316">
        <v>608254</v>
      </c>
      <c r="N316">
        <v>1013</v>
      </c>
      <c r="O316" t="s">
        <v>706</v>
      </c>
      <c r="P316" t="s">
        <v>706</v>
      </c>
      <c r="Q316">
        <v>1</v>
      </c>
      <c r="X316">
        <v>2.61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2</v>
      </c>
      <c r="AF316" t="s">
        <v>3</v>
      </c>
      <c r="AG316">
        <v>2.61</v>
      </c>
      <c r="AH316">
        <v>2</v>
      </c>
      <c r="AI316">
        <v>94801693</v>
      </c>
      <c r="AJ316">
        <v>316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ROW(Source!A331)</f>
        <v>331</v>
      </c>
      <c r="B317">
        <v>94801694</v>
      </c>
      <c r="C317">
        <v>94801691</v>
      </c>
      <c r="D317">
        <v>37802375</v>
      </c>
      <c r="E317">
        <v>1</v>
      </c>
      <c r="F317">
        <v>1</v>
      </c>
      <c r="G317">
        <v>1</v>
      </c>
      <c r="H317">
        <v>2</v>
      </c>
      <c r="I317" t="s">
        <v>821</v>
      </c>
      <c r="J317" t="s">
        <v>822</v>
      </c>
      <c r="K317" t="s">
        <v>823</v>
      </c>
      <c r="L317">
        <v>1368</v>
      </c>
      <c r="N317">
        <v>1011</v>
      </c>
      <c r="O317" t="s">
        <v>700</v>
      </c>
      <c r="P317" t="s">
        <v>700</v>
      </c>
      <c r="Q317">
        <v>1</v>
      </c>
      <c r="X317">
        <v>0.04</v>
      </c>
      <c r="Y317">
        <v>0</v>
      </c>
      <c r="Z317">
        <v>159.85</v>
      </c>
      <c r="AA317">
        <v>13.78</v>
      </c>
      <c r="AB317">
        <v>0</v>
      </c>
      <c r="AC317">
        <v>0</v>
      </c>
      <c r="AD317">
        <v>1</v>
      </c>
      <c r="AE317">
        <v>0</v>
      </c>
      <c r="AF317" t="s">
        <v>3</v>
      </c>
      <c r="AG317">
        <v>0.04</v>
      </c>
      <c r="AH317">
        <v>2</v>
      </c>
      <c r="AI317">
        <v>94801694</v>
      </c>
      <c r="AJ317">
        <v>317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ROW(Source!A331)</f>
        <v>331</v>
      </c>
      <c r="B318">
        <v>94801695</v>
      </c>
      <c r="C318">
        <v>94801691</v>
      </c>
      <c r="D318">
        <v>37802443</v>
      </c>
      <c r="E318">
        <v>1</v>
      </c>
      <c r="F318">
        <v>1</v>
      </c>
      <c r="G318">
        <v>1</v>
      </c>
      <c r="H318">
        <v>2</v>
      </c>
      <c r="I318" t="s">
        <v>721</v>
      </c>
      <c r="J318" t="s">
        <v>722</v>
      </c>
      <c r="K318" t="s">
        <v>723</v>
      </c>
      <c r="L318">
        <v>1368</v>
      </c>
      <c r="N318">
        <v>1011</v>
      </c>
      <c r="O318" t="s">
        <v>700</v>
      </c>
      <c r="P318" t="s">
        <v>700</v>
      </c>
      <c r="Q318">
        <v>1</v>
      </c>
      <c r="X318">
        <v>0.21</v>
      </c>
      <c r="Y318">
        <v>0</v>
      </c>
      <c r="Z318">
        <v>124.14</v>
      </c>
      <c r="AA318">
        <v>12.1</v>
      </c>
      <c r="AB318">
        <v>0</v>
      </c>
      <c r="AC318">
        <v>0</v>
      </c>
      <c r="AD318">
        <v>1</v>
      </c>
      <c r="AE318">
        <v>0</v>
      </c>
      <c r="AF318" t="s">
        <v>3</v>
      </c>
      <c r="AG318">
        <v>0.21</v>
      </c>
      <c r="AH318">
        <v>2</v>
      </c>
      <c r="AI318">
        <v>94801695</v>
      </c>
      <c r="AJ318">
        <v>318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ROW(Source!A331)</f>
        <v>331</v>
      </c>
      <c r="B319">
        <v>94801696</v>
      </c>
      <c r="C319">
        <v>94801691</v>
      </c>
      <c r="D319">
        <v>37802465</v>
      </c>
      <c r="E319">
        <v>1</v>
      </c>
      <c r="F319">
        <v>1</v>
      </c>
      <c r="G319">
        <v>1</v>
      </c>
      <c r="H319">
        <v>2</v>
      </c>
      <c r="I319" t="s">
        <v>920</v>
      </c>
      <c r="J319" t="s">
        <v>921</v>
      </c>
      <c r="K319" t="s">
        <v>922</v>
      </c>
      <c r="L319">
        <v>1368</v>
      </c>
      <c r="N319">
        <v>1011</v>
      </c>
      <c r="O319" t="s">
        <v>700</v>
      </c>
      <c r="P319" t="s">
        <v>700</v>
      </c>
      <c r="Q319">
        <v>1</v>
      </c>
      <c r="X319">
        <v>2.36</v>
      </c>
      <c r="Y319">
        <v>0</v>
      </c>
      <c r="Z319">
        <v>187.45</v>
      </c>
      <c r="AA319">
        <v>12.9</v>
      </c>
      <c r="AB319">
        <v>0</v>
      </c>
      <c r="AC319">
        <v>0</v>
      </c>
      <c r="AD319">
        <v>1</v>
      </c>
      <c r="AE319">
        <v>0</v>
      </c>
      <c r="AF319" t="s">
        <v>3</v>
      </c>
      <c r="AG319">
        <v>2.36</v>
      </c>
      <c r="AH319">
        <v>2</v>
      </c>
      <c r="AI319">
        <v>94801696</v>
      </c>
      <c r="AJ319">
        <v>319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ROW(Source!A331)</f>
        <v>331</v>
      </c>
      <c r="B320">
        <v>94801697</v>
      </c>
      <c r="C320">
        <v>94801691</v>
      </c>
      <c r="D320">
        <v>37802530</v>
      </c>
      <c r="E320">
        <v>1</v>
      </c>
      <c r="F320">
        <v>1</v>
      </c>
      <c r="G320">
        <v>1</v>
      </c>
      <c r="H320">
        <v>2</v>
      </c>
      <c r="I320" t="s">
        <v>827</v>
      </c>
      <c r="J320" t="s">
        <v>828</v>
      </c>
      <c r="K320" t="s">
        <v>829</v>
      </c>
      <c r="L320">
        <v>1368</v>
      </c>
      <c r="N320">
        <v>1011</v>
      </c>
      <c r="O320" t="s">
        <v>700</v>
      </c>
      <c r="P320" t="s">
        <v>700</v>
      </c>
      <c r="Q320">
        <v>1</v>
      </c>
      <c r="X320">
        <v>0.99</v>
      </c>
      <c r="Y320">
        <v>0</v>
      </c>
      <c r="Z320">
        <v>1.52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3</v>
      </c>
      <c r="AG320">
        <v>0.99</v>
      </c>
      <c r="AH320">
        <v>2</v>
      </c>
      <c r="AI320">
        <v>94801697</v>
      </c>
      <c r="AJ320">
        <v>320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ROW(Source!A331)</f>
        <v>331</v>
      </c>
      <c r="B321">
        <v>94801698</v>
      </c>
      <c r="C321">
        <v>94801691</v>
      </c>
      <c r="D321">
        <v>37802659</v>
      </c>
      <c r="E321">
        <v>1</v>
      </c>
      <c r="F321">
        <v>1</v>
      </c>
      <c r="G321">
        <v>1</v>
      </c>
      <c r="H321">
        <v>2</v>
      </c>
      <c r="I321" t="s">
        <v>777</v>
      </c>
      <c r="J321" t="s">
        <v>778</v>
      </c>
      <c r="K321" t="s">
        <v>779</v>
      </c>
      <c r="L321">
        <v>1368</v>
      </c>
      <c r="N321">
        <v>1011</v>
      </c>
      <c r="O321" t="s">
        <v>700</v>
      </c>
      <c r="P321" t="s">
        <v>700</v>
      </c>
      <c r="Q321">
        <v>1</v>
      </c>
      <c r="X321">
        <v>1.68</v>
      </c>
      <c r="Y321">
        <v>0</v>
      </c>
      <c r="Z321">
        <v>1.43</v>
      </c>
      <c r="AA321">
        <v>0</v>
      </c>
      <c r="AB321">
        <v>0</v>
      </c>
      <c r="AC321">
        <v>0</v>
      </c>
      <c r="AD321">
        <v>1</v>
      </c>
      <c r="AE321">
        <v>0</v>
      </c>
      <c r="AF321" t="s">
        <v>3</v>
      </c>
      <c r="AG321">
        <v>1.68</v>
      </c>
      <c r="AH321">
        <v>2</v>
      </c>
      <c r="AI321">
        <v>94801698</v>
      </c>
      <c r="AJ321">
        <v>321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ROW(Source!A331)</f>
        <v>331</v>
      </c>
      <c r="B322">
        <v>94801699</v>
      </c>
      <c r="C322">
        <v>94801691</v>
      </c>
      <c r="D322">
        <v>37802669</v>
      </c>
      <c r="E322">
        <v>1</v>
      </c>
      <c r="F322">
        <v>1</v>
      </c>
      <c r="G322">
        <v>1</v>
      </c>
      <c r="H322">
        <v>2</v>
      </c>
      <c r="I322" t="s">
        <v>833</v>
      </c>
      <c r="J322" t="s">
        <v>834</v>
      </c>
      <c r="K322" t="s">
        <v>835</v>
      </c>
      <c r="L322">
        <v>1368</v>
      </c>
      <c r="N322">
        <v>1011</v>
      </c>
      <c r="O322" t="s">
        <v>700</v>
      </c>
      <c r="P322" t="s">
        <v>700</v>
      </c>
      <c r="Q322">
        <v>1</v>
      </c>
      <c r="X322">
        <v>0.18</v>
      </c>
      <c r="Y322">
        <v>0</v>
      </c>
      <c r="Z322">
        <v>9.6999999999999993</v>
      </c>
      <c r="AA322">
        <v>0</v>
      </c>
      <c r="AB322">
        <v>0</v>
      </c>
      <c r="AC322">
        <v>0</v>
      </c>
      <c r="AD322">
        <v>1</v>
      </c>
      <c r="AE322">
        <v>0</v>
      </c>
      <c r="AF322" t="s">
        <v>3</v>
      </c>
      <c r="AG322">
        <v>0.18</v>
      </c>
      <c r="AH322">
        <v>2</v>
      </c>
      <c r="AI322">
        <v>94801699</v>
      </c>
      <c r="AJ322">
        <v>322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ROW(Source!A331)</f>
        <v>331</v>
      </c>
      <c r="B323">
        <v>94801700</v>
      </c>
      <c r="C323">
        <v>94801691</v>
      </c>
      <c r="D323">
        <v>37802676</v>
      </c>
      <c r="E323">
        <v>1</v>
      </c>
      <c r="F323">
        <v>1</v>
      </c>
      <c r="G323">
        <v>1</v>
      </c>
      <c r="H323">
        <v>2</v>
      </c>
      <c r="I323" t="s">
        <v>836</v>
      </c>
      <c r="J323" t="s">
        <v>837</v>
      </c>
      <c r="K323" t="s">
        <v>838</v>
      </c>
      <c r="L323">
        <v>1368</v>
      </c>
      <c r="N323">
        <v>1011</v>
      </c>
      <c r="O323" t="s">
        <v>700</v>
      </c>
      <c r="P323" t="s">
        <v>700</v>
      </c>
      <c r="Q323">
        <v>1</v>
      </c>
      <c r="X323">
        <v>0.02</v>
      </c>
      <c r="Y323">
        <v>0</v>
      </c>
      <c r="Z323">
        <v>6.4</v>
      </c>
      <c r="AA323">
        <v>0</v>
      </c>
      <c r="AB323">
        <v>0</v>
      </c>
      <c r="AC323">
        <v>0</v>
      </c>
      <c r="AD323">
        <v>1</v>
      </c>
      <c r="AE323">
        <v>0</v>
      </c>
      <c r="AF323" t="s">
        <v>3</v>
      </c>
      <c r="AG323">
        <v>0.02</v>
      </c>
      <c r="AH323">
        <v>2</v>
      </c>
      <c r="AI323">
        <v>94801700</v>
      </c>
      <c r="AJ323">
        <v>323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ROW(Source!A331)</f>
        <v>331</v>
      </c>
      <c r="B324">
        <v>94801701</v>
      </c>
      <c r="C324">
        <v>94801691</v>
      </c>
      <c r="D324">
        <v>37804065</v>
      </c>
      <c r="E324">
        <v>1</v>
      </c>
      <c r="F324">
        <v>1</v>
      </c>
      <c r="G324">
        <v>1</v>
      </c>
      <c r="H324">
        <v>2</v>
      </c>
      <c r="I324" t="s">
        <v>797</v>
      </c>
      <c r="J324" t="s">
        <v>798</v>
      </c>
      <c r="K324" t="s">
        <v>799</v>
      </c>
      <c r="L324">
        <v>1368</v>
      </c>
      <c r="N324">
        <v>1011</v>
      </c>
      <c r="O324" t="s">
        <v>700</v>
      </c>
      <c r="P324" t="s">
        <v>700</v>
      </c>
      <c r="Q324">
        <v>1</v>
      </c>
      <c r="X324">
        <v>2.41</v>
      </c>
      <c r="Y324">
        <v>0</v>
      </c>
      <c r="Z324">
        <v>2.15</v>
      </c>
      <c r="AA324">
        <v>0</v>
      </c>
      <c r="AB324">
        <v>0</v>
      </c>
      <c r="AC324">
        <v>0</v>
      </c>
      <c r="AD324">
        <v>1</v>
      </c>
      <c r="AE324">
        <v>0</v>
      </c>
      <c r="AF324" t="s">
        <v>3</v>
      </c>
      <c r="AG324">
        <v>2.41</v>
      </c>
      <c r="AH324">
        <v>2</v>
      </c>
      <c r="AI324">
        <v>94801701</v>
      </c>
      <c r="AJ324">
        <v>324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ROW(Source!A331)</f>
        <v>331</v>
      </c>
      <c r="B325">
        <v>94801702</v>
      </c>
      <c r="C325">
        <v>94801691</v>
      </c>
      <c r="D325">
        <v>37804456</v>
      </c>
      <c r="E325">
        <v>1</v>
      </c>
      <c r="F325">
        <v>1</v>
      </c>
      <c r="G325">
        <v>1</v>
      </c>
      <c r="H325">
        <v>2</v>
      </c>
      <c r="I325" t="s">
        <v>713</v>
      </c>
      <c r="J325" t="s">
        <v>714</v>
      </c>
      <c r="K325" t="s">
        <v>715</v>
      </c>
      <c r="L325">
        <v>1368</v>
      </c>
      <c r="N325">
        <v>1011</v>
      </c>
      <c r="O325" t="s">
        <v>700</v>
      </c>
      <c r="P325" t="s">
        <v>700</v>
      </c>
      <c r="Q325">
        <v>1</v>
      </c>
      <c r="X325">
        <v>0.32</v>
      </c>
      <c r="Y325">
        <v>0</v>
      </c>
      <c r="Z325">
        <v>91.76</v>
      </c>
      <c r="AA325">
        <v>10.35</v>
      </c>
      <c r="AB325">
        <v>0</v>
      </c>
      <c r="AC325">
        <v>0</v>
      </c>
      <c r="AD325">
        <v>1</v>
      </c>
      <c r="AE325">
        <v>0</v>
      </c>
      <c r="AF325" t="s">
        <v>3</v>
      </c>
      <c r="AG325">
        <v>0.32</v>
      </c>
      <c r="AH325">
        <v>2</v>
      </c>
      <c r="AI325">
        <v>94801702</v>
      </c>
      <c r="AJ325">
        <v>325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ROW(Source!A331)</f>
        <v>331</v>
      </c>
      <c r="B326">
        <v>94801703</v>
      </c>
      <c r="C326">
        <v>94801691</v>
      </c>
      <c r="D326">
        <v>37730053</v>
      </c>
      <c r="E326">
        <v>1</v>
      </c>
      <c r="F326">
        <v>1</v>
      </c>
      <c r="G326">
        <v>1</v>
      </c>
      <c r="H326">
        <v>3</v>
      </c>
      <c r="I326" t="s">
        <v>839</v>
      </c>
      <c r="J326" t="s">
        <v>840</v>
      </c>
      <c r="K326" t="s">
        <v>841</v>
      </c>
      <c r="L326">
        <v>1348</v>
      </c>
      <c r="N326">
        <v>1009</v>
      </c>
      <c r="O326" t="s">
        <v>170</v>
      </c>
      <c r="P326" t="s">
        <v>170</v>
      </c>
      <c r="Q326">
        <v>1000</v>
      </c>
      <c r="X326">
        <v>1.4999999999999999E-4</v>
      </c>
      <c r="Y326">
        <v>37900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 t="s">
        <v>3</v>
      </c>
      <c r="AG326">
        <v>1.4999999999999999E-4</v>
      </c>
      <c r="AH326">
        <v>2</v>
      </c>
      <c r="AI326">
        <v>94801703</v>
      </c>
      <c r="AJ326">
        <v>326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ROW(Source!A331)</f>
        <v>331</v>
      </c>
      <c r="B327">
        <v>94801704</v>
      </c>
      <c r="C327">
        <v>94801691</v>
      </c>
      <c r="D327">
        <v>37729659</v>
      </c>
      <c r="E327">
        <v>1</v>
      </c>
      <c r="F327">
        <v>1</v>
      </c>
      <c r="G327">
        <v>1</v>
      </c>
      <c r="H327">
        <v>3</v>
      </c>
      <c r="I327" t="s">
        <v>187</v>
      </c>
      <c r="J327" t="s">
        <v>189</v>
      </c>
      <c r="K327" t="s">
        <v>188</v>
      </c>
      <c r="L327">
        <v>1339</v>
      </c>
      <c r="N327">
        <v>1007</v>
      </c>
      <c r="O327" t="s">
        <v>52</v>
      </c>
      <c r="P327" t="s">
        <v>52</v>
      </c>
      <c r="Q327">
        <v>1</v>
      </c>
      <c r="X327">
        <v>1.4</v>
      </c>
      <c r="Y327">
        <v>6.22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3</v>
      </c>
      <c r="AG327">
        <v>1.4</v>
      </c>
      <c r="AH327">
        <v>2</v>
      </c>
      <c r="AI327">
        <v>94801704</v>
      </c>
      <c r="AJ327">
        <v>327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ROW(Source!A331)</f>
        <v>331</v>
      </c>
      <c r="B328">
        <v>94801705</v>
      </c>
      <c r="C328">
        <v>94801691</v>
      </c>
      <c r="D328">
        <v>37736264</v>
      </c>
      <c r="E328">
        <v>1</v>
      </c>
      <c r="F328">
        <v>1</v>
      </c>
      <c r="G328">
        <v>1</v>
      </c>
      <c r="H328">
        <v>3</v>
      </c>
      <c r="I328" t="s">
        <v>842</v>
      </c>
      <c r="J328" t="s">
        <v>843</v>
      </c>
      <c r="K328" t="s">
        <v>844</v>
      </c>
      <c r="L328">
        <v>1348</v>
      </c>
      <c r="N328">
        <v>1009</v>
      </c>
      <c r="O328" t="s">
        <v>170</v>
      </c>
      <c r="P328" t="s">
        <v>170</v>
      </c>
      <c r="Q328">
        <v>1000</v>
      </c>
      <c r="X328">
        <v>4.0000000000000003E-5</v>
      </c>
      <c r="Y328">
        <v>4455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3</v>
      </c>
      <c r="AG328">
        <v>4.0000000000000003E-5</v>
      </c>
      <c r="AH328">
        <v>2</v>
      </c>
      <c r="AI328">
        <v>94801705</v>
      </c>
      <c r="AJ328">
        <v>328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ROW(Source!A331)</f>
        <v>331</v>
      </c>
      <c r="B329">
        <v>94801706</v>
      </c>
      <c r="C329">
        <v>94801691</v>
      </c>
      <c r="D329">
        <v>37736447</v>
      </c>
      <c r="E329">
        <v>1</v>
      </c>
      <c r="F329">
        <v>1</v>
      </c>
      <c r="G329">
        <v>1</v>
      </c>
      <c r="H329">
        <v>3</v>
      </c>
      <c r="I329" t="s">
        <v>845</v>
      </c>
      <c r="J329" t="s">
        <v>846</v>
      </c>
      <c r="K329" t="s">
        <v>847</v>
      </c>
      <c r="L329">
        <v>1348</v>
      </c>
      <c r="N329">
        <v>1009</v>
      </c>
      <c r="O329" t="s">
        <v>170</v>
      </c>
      <c r="P329" t="s">
        <v>170</v>
      </c>
      <c r="Q329">
        <v>1000</v>
      </c>
      <c r="X329">
        <v>2.97E-3</v>
      </c>
      <c r="Y329">
        <v>5191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3</v>
      </c>
      <c r="AG329">
        <v>2.97E-3</v>
      </c>
      <c r="AH329">
        <v>2</v>
      </c>
      <c r="AI329">
        <v>94801706</v>
      </c>
      <c r="AJ329">
        <v>329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ROW(Source!A331)</f>
        <v>331</v>
      </c>
      <c r="B330">
        <v>94801707</v>
      </c>
      <c r="C330">
        <v>94801691</v>
      </c>
      <c r="D330">
        <v>37736609</v>
      </c>
      <c r="E330">
        <v>1</v>
      </c>
      <c r="F330">
        <v>1</v>
      </c>
      <c r="G330">
        <v>1</v>
      </c>
      <c r="H330">
        <v>3</v>
      </c>
      <c r="I330" t="s">
        <v>912</v>
      </c>
      <c r="J330" t="s">
        <v>913</v>
      </c>
      <c r="K330" t="s">
        <v>914</v>
      </c>
      <c r="L330">
        <v>1348</v>
      </c>
      <c r="N330">
        <v>1009</v>
      </c>
      <c r="O330" t="s">
        <v>170</v>
      </c>
      <c r="P330" t="s">
        <v>170</v>
      </c>
      <c r="Q330">
        <v>1000</v>
      </c>
      <c r="X330">
        <v>6.0999999999999997E-4</v>
      </c>
      <c r="Y330">
        <v>9750</v>
      </c>
      <c r="Z330">
        <v>0</v>
      </c>
      <c r="AA330">
        <v>0</v>
      </c>
      <c r="AB330">
        <v>0</v>
      </c>
      <c r="AC330">
        <v>0</v>
      </c>
      <c r="AD330">
        <v>1</v>
      </c>
      <c r="AE330">
        <v>0</v>
      </c>
      <c r="AF330" t="s">
        <v>3</v>
      </c>
      <c r="AG330">
        <v>6.0999999999999997E-4</v>
      </c>
      <c r="AH330">
        <v>2</v>
      </c>
      <c r="AI330">
        <v>94801707</v>
      </c>
      <c r="AJ330">
        <v>330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ROW(Source!A331)</f>
        <v>331</v>
      </c>
      <c r="B331">
        <v>94801708</v>
      </c>
      <c r="C331">
        <v>94801691</v>
      </c>
      <c r="D331">
        <v>37736859</v>
      </c>
      <c r="E331">
        <v>1</v>
      </c>
      <c r="F331">
        <v>1</v>
      </c>
      <c r="G331">
        <v>1</v>
      </c>
      <c r="H331">
        <v>3</v>
      </c>
      <c r="I331" t="s">
        <v>252</v>
      </c>
      <c r="J331" t="s">
        <v>254</v>
      </c>
      <c r="K331" t="s">
        <v>253</v>
      </c>
      <c r="L331">
        <v>1348</v>
      </c>
      <c r="N331">
        <v>1009</v>
      </c>
      <c r="O331" t="s">
        <v>170</v>
      </c>
      <c r="P331" t="s">
        <v>170</v>
      </c>
      <c r="Q331">
        <v>1000</v>
      </c>
      <c r="X331">
        <v>2.2000000000000001E-3</v>
      </c>
      <c r="Y331">
        <v>9040.01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0</v>
      </c>
      <c r="AF331" t="s">
        <v>3</v>
      </c>
      <c r="AG331">
        <v>2.2000000000000001E-3</v>
      </c>
      <c r="AH331">
        <v>2</v>
      </c>
      <c r="AI331">
        <v>94801708</v>
      </c>
      <c r="AJ331">
        <v>331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ROW(Source!A331)</f>
        <v>331</v>
      </c>
      <c r="B332">
        <v>94801709</v>
      </c>
      <c r="C332">
        <v>94801691</v>
      </c>
      <c r="D332">
        <v>37729662</v>
      </c>
      <c r="E332">
        <v>1</v>
      </c>
      <c r="F332">
        <v>1</v>
      </c>
      <c r="G332">
        <v>1</v>
      </c>
      <c r="H332">
        <v>3</v>
      </c>
      <c r="I332" t="s">
        <v>812</v>
      </c>
      <c r="J332" t="s">
        <v>813</v>
      </c>
      <c r="K332" t="s">
        <v>814</v>
      </c>
      <c r="L332">
        <v>1346</v>
      </c>
      <c r="N332">
        <v>1009</v>
      </c>
      <c r="O332" t="s">
        <v>192</v>
      </c>
      <c r="P332" t="s">
        <v>192</v>
      </c>
      <c r="Q332">
        <v>1</v>
      </c>
      <c r="X332">
        <v>0.42</v>
      </c>
      <c r="Y332">
        <v>6.62</v>
      </c>
      <c r="Z332">
        <v>0</v>
      </c>
      <c r="AA332">
        <v>0</v>
      </c>
      <c r="AB332">
        <v>0</v>
      </c>
      <c r="AC332">
        <v>0</v>
      </c>
      <c r="AD332">
        <v>1</v>
      </c>
      <c r="AE332">
        <v>0</v>
      </c>
      <c r="AF332" t="s">
        <v>3</v>
      </c>
      <c r="AG332">
        <v>0.42</v>
      </c>
      <c r="AH332">
        <v>2</v>
      </c>
      <c r="AI332">
        <v>94801709</v>
      </c>
      <c r="AJ332">
        <v>332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ROW(Source!A331)</f>
        <v>331</v>
      </c>
      <c r="B333">
        <v>94801710</v>
      </c>
      <c r="C333">
        <v>94801691</v>
      </c>
      <c r="D333">
        <v>37732807</v>
      </c>
      <c r="E333">
        <v>1</v>
      </c>
      <c r="F333">
        <v>1</v>
      </c>
      <c r="G333">
        <v>1</v>
      </c>
      <c r="H333">
        <v>3</v>
      </c>
      <c r="I333" t="s">
        <v>854</v>
      </c>
      <c r="J333" t="s">
        <v>855</v>
      </c>
      <c r="K333" t="s">
        <v>856</v>
      </c>
      <c r="L333">
        <v>1348</v>
      </c>
      <c r="N333">
        <v>1009</v>
      </c>
      <c r="O333" t="s">
        <v>170</v>
      </c>
      <c r="P333" t="s">
        <v>170</v>
      </c>
      <c r="Q333">
        <v>1000</v>
      </c>
      <c r="X333">
        <v>9.0000000000000006E-5</v>
      </c>
      <c r="Y333">
        <v>9420</v>
      </c>
      <c r="Z333">
        <v>0</v>
      </c>
      <c r="AA333">
        <v>0</v>
      </c>
      <c r="AB333">
        <v>0</v>
      </c>
      <c r="AC333">
        <v>0</v>
      </c>
      <c r="AD333">
        <v>1</v>
      </c>
      <c r="AE333">
        <v>0</v>
      </c>
      <c r="AF333" t="s">
        <v>3</v>
      </c>
      <c r="AG333">
        <v>9.0000000000000006E-5</v>
      </c>
      <c r="AH333">
        <v>2</v>
      </c>
      <c r="AI333">
        <v>94801710</v>
      </c>
      <c r="AJ333">
        <v>333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ROW(Source!A331)</f>
        <v>331</v>
      </c>
      <c r="B334">
        <v>94801711</v>
      </c>
      <c r="C334">
        <v>94801691</v>
      </c>
      <c r="D334">
        <v>37735514</v>
      </c>
      <c r="E334">
        <v>1</v>
      </c>
      <c r="F334">
        <v>1</v>
      </c>
      <c r="G334">
        <v>1</v>
      </c>
      <c r="H334">
        <v>3</v>
      </c>
      <c r="I334" t="s">
        <v>376</v>
      </c>
      <c r="J334" t="s">
        <v>378</v>
      </c>
      <c r="K334" t="s">
        <v>377</v>
      </c>
      <c r="L334">
        <v>1348</v>
      </c>
      <c r="N334">
        <v>1009</v>
      </c>
      <c r="O334" t="s">
        <v>170</v>
      </c>
      <c r="P334" t="s">
        <v>170</v>
      </c>
      <c r="Q334">
        <v>1000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1</v>
      </c>
      <c r="AD334">
        <v>0</v>
      </c>
      <c r="AE334">
        <v>0</v>
      </c>
      <c r="AF334" t="s">
        <v>3</v>
      </c>
      <c r="AG334">
        <v>0</v>
      </c>
      <c r="AH334">
        <v>2</v>
      </c>
      <c r="AI334">
        <v>94801711</v>
      </c>
      <c r="AJ334">
        <v>334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ROW(Source!A331)</f>
        <v>331</v>
      </c>
      <c r="B335">
        <v>94801712</v>
      </c>
      <c r="C335">
        <v>94801691</v>
      </c>
      <c r="D335">
        <v>37735329</v>
      </c>
      <c r="E335">
        <v>1</v>
      </c>
      <c r="F335">
        <v>1</v>
      </c>
      <c r="G335">
        <v>1</v>
      </c>
      <c r="H335">
        <v>3</v>
      </c>
      <c r="I335" t="s">
        <v>380</v>
      </c>
      <c r="J335" t="s">
        <v>382</v>
      </c>
      <c r="K335" t="s">
        <v>381</v>
      </c>
      <c r="L335">
        <v>1348</v>
      </c>
      <c r="N335">
        <v>1009</v>
      </c>
      <c r="O335" t="s">
        <v>170</v>
      </c>
      <c r="P335" t="s">
        <v>170</v>
      </c>
      <c r="Q335">
        <v>1000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1</v>
      </c>
      <c r="AD335">
        <v>0</v>
      </c>
      <c r="AE335">
        <v>0</v>
      </c>
      <c r="AF335" t="s">
        <v>3</v>
      </c>
      <c r="AG335">
        <v>0</v>
      </c>
      <c r="AH335">
        <v>2</v>
      </c>
      <c r="AI335">
        <v>94801712</v>
      </c>
      <c r="AJ335">
        <v>335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ROW(Source!A331)</f>
        <v>331</v>
      </c>
      <c r="B336">
        <v>94801713</v>
      </c>
      <c r="C336">
        <v>94801691</v>
      </c>
      <c r="D336">
        <v>37738047</v>
      </c>
      <c r="E336">
        <v>1</v>
      </c>
      <c r="F336">
        <v>1</v>
      </c>
      <c r="G336">
        <v>1</v>
      </c>
      <c r="H336">
        <v>3</v>
      </c>
      <c r="I336" t="s">
        <v>857</v>
      </c>
      <c r="J336" t="s">
        <v>858</v>
      </c>
      <c r="K336" t="s">
        <v>859</v>
      </c>
      <c r="L336">
        <v>1339</v>
      </c>
      <c r="N336">
        <v>1007</v>
      </c>
      <c r="O336" t="s">
        <v>52</v>
      </c>
      <c r="P336" t="s">
        <v>52</v>
      </c>
      <c r="Q336">
        <v>1</v>
      </c>
      <c r="X336">
        <v>1.2999999999999999E-3</v>
      </c>
      <c r="Y336">
        <v>1421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 t="s">
        <v>3</v>
      </c>
      <c r="AG336">
        <v>1.2999999999999999E-3</v>
      </c>
      <c r="AH336">
        <v>2</v>
      </c>
      <c r="AI336">
        <v>94801713</v>
      </c>
      <c r="AJ336">
        <v>336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ROW(Source!A331)</f>
        <v>331</v>
      </c>
      <c r="B337">
        <v>94801714</v>
      </c>
      <c r="C337">
        <v>94801691</v>
      </c>
      <c r="D337">
        <v>37744698</v>
      </c>
      <c r="E337">
        <v>1</v>
      </c>
      <c r="F337">
        <v>1</v>
      </c>
      <c r="G337">
        <v>1</v>
      </c>
      <c r="H337">
        <v>3</v>
      </c>
      <c r="I337" t="s">
        <v>178</v>
      </c>
      <c r="J337" t="s">
        <v>180</v>
      </c>
      <c r="K337" t="s">
        <v>179</v>
      </c>
      <c r="L337">
        <v>1348</v>
      </c>
      <c r="N337">
        <v>1009</v>
      </c>
      <c r="O337" t="s">
        <v>170</v>
      </c>
      <c r="P337" t="s">
        <v>170</v>
      </c>
      <c r="Q337">
        <v>1000</v>
      </c>
      <c r="X337">
        <v>4.6999999999999999E-4</v>
      </c>
      <c r="Y337">
        <v>15620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3</v>
      </c>
      <c r="AG337">
        <v>4.6999999999999999E-4</v>
      </c>
      <c r="AH337">
        <v>2</v>
      </c>
      <c r="AI337">
        <v>94801714</v>
      </c>
      <c r="AJ337">
        <v>337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ROW(Source!A331)</f>
        <v>331</v>
      </c>
      <c r="B338">
        <v>94801715</v>
      </c>
      <c r="C338">
        <v>94801691</v>
      </c>
      <c r="D338">
        <v>37751308</v>
      </c>
      <c r="E338">
        <v>1</v>
      </c>
      <c r="F338">
        <v>1</v>
      </c>
      <c r="G338">
        <v>1</v>
      </c>
      <c r="H338">
        <v>3</v>
      </c>
      <c r="I338" t="s">
        <v>860</v>
      </c>
      <c r="J338" t="s">
        <v>861</v>
      </c>
      <c r="K338" t="s">
        <v>862</v>
      </c>
      <c r="L338">
        <v>1348</v>
      </c>
      <c r="N338">
        <v>1009</v>
      </c>
      <c r="O338" t="s">
        <v>170</v>
      </c>
      <c r="P338" t="s">
        <v>170</v>
      </c>
      <c r="Q338">
        <v>1000</v>
      </c>
      <c r="X338">
        <v>1.0999999999999999E-2</v>
      </c>
      <c r="Y338">
        <v>7712</v>
      </c>
      <c r="Z338">
        <v>0</v>
      </c>
      <c r="AA338">
        <v>0</v>
      </c>
      <c r="AB338">
        <v>0</v>
      </c>
      <c r="AC338">
        <v>0</v>
      </c>
      <c r="AD338">
        <v>1</v>
      </c>
      <c r="AE338">
        <v>0</v>
      </c>
      <c r="AF338" t="s">
        <v>3</v>
      </c>
      <c r="AG338">
        <v>1.0999999999999999E-2</v>
      </c>
      <c r="AH338">
        <v>2</v>
      </c>
      <c r="AI338">
        <v>94801715</v>
      </c>
      <c r="AJ338">
        <v>338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ROW(Source!A331)</f>
        <v>331</v>
      </c>
      <c r="B339">
        <v>94801716</v>
      </c>
      <c r="C339">
        <v>94801691</v>
      </c>
      <c r="D339">
        <v>37790931</v>
      </c>
      <c r="E339">
        <v>1</v>
      </c>
      <c r="F339">
        <v>1</v>
      </c>
      <c r="G339">
        <v>1</v>
      </c>
      <c r="H339">
        <v>3</v>
      </c>
      <c r="I339" t="s">
        <v>863</v>
      </c>
      <c r="J339" t="s">
        <v>864</v>
      </c>
      <c r="K339" t="s">
        <v>865</v>
      </c>
      <c r="L339">
        <v>1302</v>
      </c>
      <c r="N339">
        <v>1003</v>
      </c>
      <c r="O339" t="s">
        <v>866</v>
      </c>
      <c r="P339" t="s">
        <v>866</v>
      </c>
      <c r="Q339">
        <v>10</v>
      </c>
      <c r="X339">
        <v>1.6E-2</v>
      </c>
      <c r="Y339">
        <v>71.5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 t="s">
        <v>3</v>
      </c>
      <c r="AG339">
        <v>1.6E-2</v>
      </c>
      <c r="AH339">
        <v>2</v>
      </c>
      <c r="AI339">
        <v>94801716</v>
      </c>
      <c r="AJ339">
        <v>339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ROW(Source!A336)</f>
        <v>336</v>
      </c>
      <c r="B340">
        <v>94802132</v>
      </c>
      <c r="C340">
        <v>94802127</v>
      </c>
      <c r="D340">
        <v>23129487</v>
      </c>
      <c r="E340">
        <v>1</v>
      </c>
      <c r="F340">
        <v>1</v>
      </c>
      <c r="G340">
        <v>1</v>
      </c>
      <c r="H340">
        <v>1</v>
      </c>
      <c r="I340" t="s">
        <v>915</v>
      </c>
      <c r="J340" t="s">
        <v>3</v>
      </c>
      <c r="K340" t="s">
        <v>916</v>
      </c>
      <c r="L340">
        <v>1369</v>
      </c>
      <c r="N340">
        <v>1013</v>
      </c>
      <c r="O340" t="s">
        <v>696</v>
      </c>
      <c r="P340" t="s">
        <v>696</v>
      </c>
      <c r="Q340">
        <v>1</v>
      </c>
      <c r="X340">
        <v>11.9</v>
      </c>
      <c r="Y340">
        <v>0</v>
      </c>
      <c r="Z340">
        <v>0</v>
      </c>
      <c r="AA340">
        <v>0</v>
      </c>
      <c r="AB340">
        <v>8.48</v>
      </c>
      <c r="AC340">
        <v>0</v>
      </c>
      <c r="AD340">
        <v>1</v>
      </c>
      <c r="AE340">
        <v>1</v>
      </c>
      <c r="AF340" t="s">
        <v>3</v>
      </c>
      <c r="AG340">
        <v>11.9</v>
      </c>
      <c r="AH340">
        <v>2</v>
      </c>
      <c r="AI340">
        <v>94802132</v>
      </c>
      <c r="AJ340">
        <v>340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ROW(Source!A336)</f>
        <v>336</v>
      </c>
      <c r="B341">
        <v>94802133</v>
      </c>
      <c r="C341">
        <v>94802127</v>
      </c>
      <c r="D341">
        <v>37804456</v>
      </c>
      <c r="E341">
        <v>1</v>
      </c>
      <c r="F341">
        <v>1</v>
      </c>
      <c r="G341">
        <v>1</v>
      </c>
      <c r="H341">
        <v>2</v>
      </c>
      <c r="I341" t="s">
        <v>713</v>
      </c>
      <c r="J341" t="s">
        <v>714</v>
      </c>
      <c r="K341" t="s">
        <v>715</v>
      </c>
      <c r="L341">
        <v>1368</v>
      </c>
      <c r="N341">
        <v>1011</v>
      </c>
      <c r="O341" t="s">
        <v>700</v>
      </c>
      <c r="P341" t="s">
        <v>700</v>
      </c>
      <c r="Q341">
        <v>1</v>
      </c>
      <c r="X341">
        <v>0.03</v>
      </c>
      <c r="Y341">
        <v>0</v>
      </c>
      <c r="Z341">
        <v>91.76</v>
      </c>
      <c r="AA341">
        <v>10.35</v>
      </c>
      <c r="AB341">
        <v>0</v>
      </c>
      <c r="AC341">
        <v>0</v>
      </c>
      <c r="AD341">
        <v>1</v>
      </c>
      <c r="AE341">
        <v>0</v>
      </c>
      <c r="AF341" t="s">
        <v>3</v>
      </c>
      <c r="AG341">
        <v>0.03</v>
      </c>
      <c r="AH341">
        <v>2</v>
      </c>
      <c r="AI341">
        <v>94802133</v>
      </c>
      <c r="AJ341">
        <v>341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ROW(Source!A336)</f>
        <v>336</v>
      </c>
      <c r="B342">
        <v>94802134</v>
      </c>
      <c r="C342">
        <v>94802127</v>
      </c>
      <c r="D342">
        <v>37736859</v>
      </c>
      <c r="E342">
        <v>1</v>
      </c>
      <c r="F342">
        <v>1</v>
      </c>
      <c r="G342">
        <v>1</v>
      </c>
      <c r="H342">
        <v>3</v>
      </c>
      <c r="I342" t="s">
        <v>252</v>
      </c>
      <c r="J342" t="s">
        <v>254</v>
      </c>
      <c r="K342" t="s">
        <v>253</v>
      </c>
      <c r="L342">
        <v>1348</v>
      </c>
      <c r="N342">
        <v>1009</v>
      </c>
      <c r="O342" t="s">
        <v>170</v>
      </c>
      <c r="P342" t="s">
        <v>170</v>
      </c>
      <c r="Q342">
        <v>1000</v>
      </c>
      <c r="X342">
        <v>0</v>
      </c>
      <c r="Y342">
        <v>9040.01</v>
      </c>
      <c r="Z342">
        <v>0</v>
      </c>
      <c r="AA342">
        <v>0</v>
      </c>
      <c r="AB342">
        <v>0</v>
      </c>
      <c r="AC342">
        <v>1</v>
      </c>
      <c r="AD342">
        <v>0</v>
      </c>
      <c r="AE342">
        <v>0</v>
      </c>
      <c r="AF342" t="s">
        <v>3</v>
      </c>
      <c r="AG342">
        <v>0</v>
      </c>
      <c r="AH342">
        <v>2</v>
      </c>
      <c r="AI342">
        <v>94802134</v>
      </c>
      <c r="AJ342">
        <v>342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ROW(Source!A426)</f>
        <v>426</v>
      </c>
      <c r="B343">
        <v>94802310</v>
      </c>
      <c r="C343">
        <v>94802303</v>
      </c>
      <c r="D343">
        <v>23129555</v>
      </c>
      <c r="E343">
        <v>1</v>
      </c>
      <c r="F343">
        <v>1</v>
      </c>
      <c r="G343">
        <v>1</v>
      </c>
      <c r="H343">
        <v>1</v>
      </c>
      <c r="I343" t="s">
        <v>701</v>
      </c>
      <c r="J343" t="s">
        <v>3</v>
      </c>
      <c r="K343" t="s">
        <v>702</v>
      </c>
      <c r="L343">
        <v>1369</v>
      </c>
      <c r="N343">
        <v>1013</v>
      </c>
      <c r="O343" t="s">
        <v>696</v>
      </c>
      <c r="P343" t="s">
        <v>696</v>
      </c>
      <c r="Q343">
        <v>1</v>
      </c>
      <c r="X343">
        <v>31.32</v>
      </c>
      <c r="Y343">
        <v>0</v>
      </c>
      <c r="Z343">
        <v>0</v>
      </c>
      <c r="AA343">
        <v>0</v>
      </c>
      <c r="AB343">
        <v>7.29</v>
      </c>
      <c r="AC343">
        <v>0</v>
      </c>
      <c r="AD343">
        <v>1</v>
      </c>
      <c r="AE343">
        <v>1</v>
      </c>
      <c r="AF343" t="s">
        <v>3</v>
      </c>
      <c r="AG343">
        <v>31.32</v>
      </c>
      <c r="AH343">
        <v>2</v>
      </c>
      <c r="AI343">
        <v>94802310</v>
      </c>
      <c r="AJ343">
        <v>343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ROW(Source!A426)</f>
        <v>426</v>
      </c>
      <c r="B344">
        <v>94802311</v>
      </c>
      <c r="C344">
        <v>94802303</v>
      </c>
      <c r="D344">
        <v>121548</v>
      </c>
      <c r="E344">
        <v>1</v>
      </c>
      <c r="F344">
        <v>1</v>
      </c>
      <c r="G344">
        <v>1</v>
      </c>
      <c r="H344">
        <v>1</v>
      </c>
      <c r="I344" t="s">
        <v>28</v>
      </c>
      <c r="J344" t="s">
        <v>3</v>
      </c>
      <c r="K344" t="s">
        <v>705</v>
      </c>
      <c r="L344">
        <v>608254</v>
      </c>
      <c r="N344">
        <v>1013</v>
      </c>
      <c r="O344" t="s">
        <v>706</v>
      </c>
      <c r="P344" t="s">
        <v>706</v>
      </c>
      <c r="Q344">
        <v>1</v>
      </c>
      <c r="X344">
        <v>90.09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2</v>
      </c>
      <c r="AF344" t="s">
        <v>3</v>
      </c>
      <c r="AG344">
        <v>90.09</v>
      </c>
      <c r="AH344">
        <v>2</v>
      </c>
      <c r="AI344">
        <v>94802311</v>
      </c>
      <c r="AJ344">
        <v>344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ROW(Source!A426)</f>
        <v>426</v>
      </c>
      <c r="B345">
        <v>94802312</v>
      </c>
      <c r="C345">
        <v>94802303</v>
      </c>
      <c r="D345">
        <v>37802763</v>
      </c>
      <c r="E345">
        <v>1</v>
      </c>
      <c r="F345">
        <v>1</v>
      </c>
      <c r="G345">
        <v>1</v>
      </c>
      <c r="H345">
        <v>2</v>
      </c>
      <c r="I345" t="s">
        <v>984</v>
      </c>
      <c r="J345" t="s">
        <v>985</v>
      </c>
      <c r="K345" t="s">
        <v>986</v>
      </c>
      <c r="L345">
        <v>1368</v>
      </c>
      <c r="N345">
        <v>1011</v>
      </c>
      <c r="O345" t="s">
        <v>700</v>
      </c>
      <c r="P345" t="s">
        <v>700</v>
      </c>
      <c r="Q345">
        <v>1</v>
      </c>
      <c r="X345">
        <v>73.040000000000006</v>
      </c>
      <c r="Y345">
        <v>0</v>
      </c>
      <c r="Z345">
        <v>74</v>
      </c>
      <c r="AA345">
        <v>10.35</v>
      </c>
      <c r="AB345">
        <v>0</v>
      </c>
      <c r="AC345">
        <v>0</v>
      </c>
      <c r="AD345">
        <v>1</v>
      </c>
      <c r="AE345">
        <v>0</v>
      </c>
      <c r="AF345" t="s">
        <v>3</v>
      </c>
      <c r="AG345">
        <v>73.040000000000006</v>
      </c>
      <c r="AH345">
        <v>2</v>
      </c>
      <c r="AI345">
        <v>94802312</v>
      </c>
      <c r="AJ345">
        <v>345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ROW(Source!A426)</f>
        <v>426</v>
      </c>
      <c r="B346">
        <v>94802313</v>
      </c>
      <c r="C346">
        <v>94802303</v>
      </c>
      <c r="D346">
        <v>37802809</v>
      </c>
      <c r="E346">
        <v>1</v>
      </c>
      <c r="F346">
        <v>1</v>
      </c>
      <c r="G346">
        <v>1</v>
      </c>
      <c r="H346">
        <v>2</v>
      </c>
      <c r="I346" t="s">
        <v>763</v>
      </c>
      <c r="J346" t="s">
        <v>764</v>
      </c>
      <c r="K346" t="s">
        <v>765</v>
      </c>
      <c r="L346">
        <v>1368</v>
      </c>
      <c r="N346">
        <v>1011</v>
      </c>
      <c r="O346" t="s">
        <v>700</v>
      </c>
      <c r="P346" t="s">
        <v>700</v>
      </c>
      <c r="Q346">
        <v>1</v>
      </c>
      <c r="X346">
        <v>17.05</v>
      </c>
      <c r="Y346">
        <v>0</v>
      </c>
      <c r="Z346">
        <v>102.49</v>
      </c>
      <c r="AA346">
        <v>10.35</v>
      </c>
      <c r="AB346">
        <v>0</v>
      </c>
      <c r="AC346">
        <v>0</v>
      </c>
      <c r="AD346">
        <v>1</v>
      </c>
      <c r="AE346">
        <v>0</v>
      </c>
      <c r="AF346" t="s">
        <v>3</v>
      </c>
      <c r="AG346">
        <v>17.05</v>
      </c>
      <c r="AH346">
        <v>2</v>
      </c>
      <c r="AI346">
        <v>94802313</v>
      </c>
      <c r="AJ346">
        <v>346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ROW(Source!A426)</f>
        <v>426</v>
      </c>
      <c r="B347">
        <v>94802314</v>
      </c>
      <c r="C347">
        <v>94802303</v>
      </c>
      <c r="D347">
        <v>37777283</v>
      </c>
      <c r="E347">
        <v>1</v>
      </c>
      <c r="F347">
        <v>1</v>
      </c>
      <c r="G347">
        <v>1</v>
      </c>
      <c r="H347">
        <v>3</v>
      </c>
      <c r="I347" t="s">
        <v>987</v>
      </c>
      <c r="J347" t="s">
        <v>988</v>
      </c>
      <c r="K347" t="s">
        <v>989</v>
      </c>
      <c r="L347">
        <v>1339</v>
      </c>
      <c r="N347">
        <v>1007</v>
      </c>
      <c r="O347" t="s">
        <v>52</v>
      </c>
      <c r="P347" t="s">
        <v>52</v>
      </c>
      <c r="Q347">
        <v>1</v>
      </c>
      <c r="X347">
        <v>0.04</v>
      </c>
      <c r="Y347">
        <v>269.77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3</v>
      </c>
      <c r="AG347">
        <v>0.04</v>
      </c>
      <c r="AH347">
        <v>2</v>
      </c>
      <c r="AI347">
        <v>94802314</v>
      </c>
      <c r="AJ347">
        <v>347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ROW(Source!A427)</f>
        <v>427</v>
      </c>
      <c r="B348">
        <v>94802316</v>
      </c>
      <c r="C348">
        <v>94802315</v>
      </c>
      <c r="D348">
        <v>23131038</v>
      </c>
      <c r="E348">
        <v>1</v>
      </c>
      <c r="F348">
        <v>1</v>
      </c>
      <c r="G348">
        <v>1</v>
      </c>
      <c r="H348">
        <v>1</v>
      </c>
      <c r="I348" t="s">
        <v>872</v>
      </c>
      <c r="J348" t="s">
        <v>3</v>
      </c>
      <c r="K348" t="s">
        <v>873</v>
      </c>
      <c r="L348">
        <v>1369</v>
      </c>
      <c r="N348">
        <v>1013</v>
      </c>
      <c r="O348" t="s">
        <v>696</v>
      </c>
      <c r="P348" t="s">
        <v>696</v>
      </c>
      <c r="Q348">
        <v>1</v>
      </c>
      <c r="X348">
        <v>15.72</v>
      </c>
      <c r="Y348">
        <v>0</v>
      </c>
      <c r="Z348">
        <v>0</v>
      </c>
      <c r="AA348">
        <v>0</v>
      </c>
      <c r="AB348">
        <v>7.49</v>
      </c>
      <c r="AC348">
        <v>0</v>
      </c>
      <c r="AD348">
        <v>1</v>
      </c>
      <c r="AE348">
        <v>1</v>
      </c>
      <c r="AF348" t="s">
        <v>3</v>
      </c>
      <c r="AG348">
        <v>15.72</v>
      </c>
      <c r="AH348">
        <v>2</v>
      </c>
      <c r="AI348">
        <v>94802316</v>
      </c>
      <c r="AJ348">
        <v>348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ROW(Source!A427)</f>
        <v>427</v>
      </c>
      <c r="B349">
        <v>94802317</v>
      </c>
      <c r="C349">
        <v>94802315</v>
      </c>
      <c r="D349">
        <v>121548</v>
      </c>
      <c r="E349">
        <v>1</v>
      </c>
      <c r="F349">
        <v>1</v>
      </c>
      <c r="G349">
        <v>1</v>
      </c>
      <c r="H349">
        <v>1</v>
      </c>
      <c r="I349" t="s">
        <v>28</v>
      </c>
      <c r="J349" t="s">
        <v>3</v>
      </c>
      <c r="K349" t="s">
        <v>705</v>
      </c>
      <c r="L349">
        <v>608254</v>
      </c>
      <c r="N349">
        <v>1013</v>
      </c>
      <c r="O349" t="s">
        <v>706</v>
      </c>
      <c r="P349" t="s">
        <v>706</v>
      </c>
      <c r="Q349">
        <v>1</v>
      </c>
      <c r="X349">
        <v>13.88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2</v>
      </c>
      <c r="AF349" t="s">
        <v>3</v>
      </c>
      <c r="AG349">
        <v>13.88</v>
      </c>
      <c r="AH349">
        <v>2</v>
      </c>
      <c r="AI349">
        <v>94802317</v>
      </c>
      <c r="AJ349">
        <v>349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ROW(Source!A427)</f>
        <v>427</v>
      </c>
      <c r="B350">
        <v>94802318</v>
      </c>
      <c r="C350">
        <v>94802315</v>
      </c>
      <c r="D350">
        <v>37802515</v>
      </c>
      <c r="E350">
        <v>1</v>
      </c>
      <c r="F350">
        <v>1</v>
      </c>
      <c r="G350">
        <v>1</v>
      </c>
      <c r="H350">
        <v>2</v>
      </c>
      <c r="I350" t="s">
        <v>774</v>
      </c>
      <c r="J350" t="s">
        <v>775</v>
      </c>
      <c r="K350" t="s">
        <v>776</v>
      </c>
      <c r="L350">
        <v>1368</v>
      </c>
      <c r="N350">
        <v>1011</v>
      </c>
      <c r="O350" t="s">
        <v>700</v>
      </c>
      <c r="P350" t="s">
        <v>700</v>
      </c>
      <c r="Q350">
        <v>1</v>
      </c>
      <c r="X350">
        <v>4.29</v>
      </c>
      <c r="Y350">
        <v>0</v>
      </c>
      <c r="Z350">
        <v>87.24</v>
      </c>
      <c r="AA350">
        <v>9</v>
      </c>
      <c r="AB350">
        <v>0</v>
      </c>
      <c r="AC350">
        <v>0</v>
      </c>
      <c r="AD350">
        <v>1</v>
      </c>
      <c r="AE350">
        <v>0</v>
      </c>
      <c r="AF350" t="s">
        <v>3</v>
      </c>
      <c r="AG350">
        <v>4.29</v>
      </c>
      <c r="AH350">
        <v>2</v>
      </c>
      <c r="AI350">
        <v>94802318</v>
      </c>
      <c r="AJ350">
        <v>350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ROW(Source!A427)</f>
        <v>427</v>
      </c>
      <c r="B351">
        <v>94802319</v>
      </c>
      <c r="C351">
        <v>94802315</v>
      </c>
      <c r="D351">
        <v>37803022</v>
      </c>
      <c r="E351">
        <v>1</v>
      </c>
      <c r="F351">
        <v>1</v>
      </c>
      <c r="G351">
        <v>1</v>
      </c>
      <c r="H351">
        <v>2</v>
      </c>
      <c r="I351" t="s">
        <v>874</v>
      </c>
      <c r="J351" t="s">
        <v>875</v>
      </c>
      <c r="K351" t="s">
        <v>876</v>
      </c>
      <c r="L351">
        <v>1368</v>
      </c>
      <c r="N351">
        <v>1011</v>
      </c>
      <c r="O351" t="s">
        <v>700</v>
      </c>
      <c r="P351" t="s">
        <v>700</v>
      </c>
      <c r="Q351">
        <v>1</v>
      </c>
      <c r="X351">
        <v>1.77</v>
      </c>
      <c r="Y351">
        <v>0</v>
      </c>
      <c r="Z351">
        <v>155.09</v>
      </c>
      <c r="AA351">
        <v>12.1</v>
      </c>
      <c r="AB351">
        <v>0</v>
      </c>
      <c r="AC351">
        <v>0</v>
      </c>
      <c r="AD351">
        <v>1</v>
      </c>
      <c r="AE351">
        <v>0</v>
      </c>
      <c r="AF351" t="s">
        <v>3</v>
      </c>
      <c r="AG351">
        <v>1.77</v>
      </c>
      <c r="AH351">
        <v>2</v>
      </c>
      <c r="AI351">
        <v>94802319</v>
      </c>
      <c r="AJ351">
        <v>351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ROW(Source!A427)</f>
        <v>427</v>
      </c>
      <c r="B352">
        <v>94802320</v>
      </c>
      <c r="C352">
        <v>94802315</v>
      </c>
      <c r="D352">
        <v>37803059</v>
      </c>
      <c r="E352">
        <v>1</v>
      </c>
      <c r="F352">
        <v>1</v>
      </c>
      <c r="G352">
        <v>1</v>
      </c>
      <c r="H352">
        <v>2</v>
      </c>
      <c r="I352" t="s">
        <v>877</v>
      </c>
      <c r="J352" t="s">
        <v>878</v>
      </c>
      <c r="K352" t="s">
        <v>879</v>
      </c>
      <c r="L352">
        <v>1368</v>
      </c>
      <c r="N352">
        <v>1011</v>
      </c>
      <c r="O352" t="s">
        <v>700</v>
      </c>
      <c r="P352" t="s">
        <v>700</v>
      </c>
      <c r="Q352">
        <v>1</v>
      </c>
      <c r="X352">
        <v>7.08</v>
      </c>
      <c r="Y352">
        <v>0</v>
      </c>
      <c r="Z352">
        <v>210.32</v>
      </c>
      <c r="AA352">
        <v>12.9</v>
      </c>
      <c r="AB352">
        <v>0</v>
      </c>
      <c r="AC352">
        <v>0</v>
      </c>
      <c r="AD352">
        <v>1</v>
      </c>
      <c r="AE352">
        <v>0</v>
      </c>
      <c r="AF352" t="s">
        <v>3</v>
      </c>
      <c r="AG352">
        <v>7.08</v>
      </c>
      <c r="AH352">
        <v>2</v>
      </c>
      <c r="AI352">
        <v>94802320</v>
      </c>
      <c r="AJ352">
        <v>352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ROW(Source!A427)</f>
        <v>427</v>
      </c>
      <c r="B353">
        <v>94802321</v>
      </c>
      <c r="C353">
        <v>94802315</v>
      </c>
      <c r="D353">
        <v>37803111</v>
      </c>
      <c r="E353">
        <v>1</v>
      </c>
      <c r="F353">
        <v>1</v>
      </c>
      <c r="G353">
        <v>1</v>
      </c>
      <c r="H353">
        <v>2</v>
      </c>
      <c r="I353" t="s">
        <v>880</v>
      </c>
      <c r="J353" t="s">
        <v>881</v>
      </c>
      <c r="K353" t="s">
        <v>882</v>
      </c>
      <c r="L353">
        <v>1368</v>
      </c>
      <c r="N353">
        <v>1011</v>
      </c>
      <c r="O353" t="s">
        <v>700</v>
      </c>
      <c r="P353" t="s">
        <v>700</v>
      </c>
      <c r="Q353">
        <v>1</v>
      </c>
      <c r="X353">
        <v>0.74</v>
      </c>
      <c r="Y353">
        <v>0</v>
      </c>
      <c r="Z353">
        <v>119.25</v>
      </c>
      <c r="AA353">
        <v>10.35</v>
      </c>
      <c r="AB353">
        <v>0</v>
      </c>
      <c r="AC353">
        <v>0</v>
      </c>
      <c r="AD353">
        <v>1</v>
      </c>
      <c r="AE353">
        <v>0</v>
      </c>
      <c r="AF353" t="s">
        <v>3</v>
      </c>
      <c r="AG353">
        <v>0.74</v>
      </c>
      <c r="AH353">
        <v>2</v>
      </c>
      <c r="AI353">
        <v>94802321</v>
      </c>
      <c r="AJ353">
        <v>353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ROW(Source!A427)</f>
        <v>427</v>
      </c>
      <c r="B354">
        <v>94802322</v>
      </c>
      <c r="C354">
        <v>94802315</v>
      </c>
      <c r="D354">
        <v>37777368</v>
      </c>
      <c r="E354">
        <v>1</v>
      </c>
      <c r="F354">
        <v>1</v>
      </c>
      <c r="G354">
        <v>1</v>
      </c>
      <c r="H354">
        <v>3</v>
      </c>
      <c r="I354" t="s">
        <v>513</v>
      </c>
      <c r="J354" t="s">
        <v>515</v>
      </c>
      <c r="K354" t="s">
        <v>514</v>
      </c>
      <c r="L354">
        <v>1339</v>
      </c>
      <c r="N354">
        <v>1007</v>
      </c>
      <c r="O354" t="s">
        <v>52</v>
      </c>
      <c r="P354" t="s">
        <v>52</v>
      </c>
      <c r="Q354">
        <v>1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1</v>
      </c>
      <c r="AD354">
        <v>0</v>
      </c>
      <c r="AE354">
        <v>0</v>
      </c>
      <c r="AF354" t="s">
        <v>3</v>
      </c>
      <c r="AG354">
        <v>0</v>
      </c>
      <c r="AH354">
        <v>2</v>
      </c>
      <c r="AI354">
        <v>94802322</v>
      </c>
      <c r="AJ354">
        <v>354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ROW(Source!A427)</f>
        <v>427</v>
      </c>
      <c r="B355">
        <v>94802323</v>
      </c>
      <c r="C355">
        <v>94802315</v>
      </c>
      <c r="D355">
        <v>37777802</v>
      </c>
      <c r="E355">
        <v>1</v>
      </c>
      <c r="F355">
        <v>1</v>
      </c>
      <c r="G355">
        <v>1</v>
      </c>
      <c r="H355">
        <v>3</v>
      </c>
      <c r="I355" t="s">
        <v>883</v>
      </c>
      <c r="J355" t="s">
        <v>884</v>
      </c>
      <c r="K355" t="s">
        <v>885</v>
      </c>
      <c r="L355">
        <v>1339</v>
      </c>
      <c r="N355">
        <v>1007</v>
      </c>
      <c r="O355" t="s">
        <v>52</v>
      </c>
      <c r="P355" t="s">
        <v>52</v>
      </c>
      <c r="Q355">
        <v>1</v>
      </c>
      <c r="X355">
        <v>5</v>
      </c>
      <c r="Y355">
        <v>2.4700000000000002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0</v>
      </c>
      <c r="AF355" t="s">
        <v>3</v>
      </c>
      <c r="AG355">
        <v>5</v>
      </c>
      <c r="AH355">
        <v>2</v>
      </c>
      <c r="AI355">
        <v>94802323</v>
      </c>
      <c r="AJ355">
        <v>355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ROW(Source!A430)</f>
        <v>430</v>
      </c>
      <c r="B356">
        <v>94802337</v>
      </c>
      <c r="C356">
        <v>94802326</v>
      </c>
      <c r="D356">
        <v>23131263</v>
      </c>
      <c r="E356">
        <v>1</v>
      </c>
      <c r="F356">
        <v>1</v>
      </c>
      <c r="G356">
        <v>1</v>
      </c>
      <c r="H356">
        <v>1</v>
      </c>
      <c r="I356" t="s">
        <v>990</v>
      </c>
      <c r="J356" t="s">
        <v>3</v>
      </c>
      <c r="K356" t="s">
        <v>991</v>
      </c>
      <c r="L356">
        <v>1369</v>
      </c>
      <c r="N356">
        <v>1013</v>
      </c>
      <c r="O356" t="s">
        <v>696</v>
      </c>
      <c r="P356" t="s">
        <v>696</v>
      </c>
      <c r="Q356">
        <v>1</v>
      </c>
      <c r="X356">
        <v>36.96</v>
      </c>
      <c r="Y356">
        <v>0</v>
      </c>
      <c r="Z356">
        <v>0</v>
      </c>
      <c r="AA356">
        <v>0</v>
      </c>
      <c r="AB356">
        <v>7.63</v>
      </c>
      <c r="AC356">
        <v>0</v>
      </c>
      <c r="AD356">
        <v>1</v>
      </c>
      <c r="AE356">
        <v>1</v>
      </c>
      <c r="AF356" t="s">
        <v>3</v>
      </c>
      <c r="AG356">
        <v>36.96</v>
      </c>
      <c r="AH356">
        <v>2</v>
      </c>
      <c r="AI356">
        <v>94802337</v>
      </c>
      <c r="AJ356">
        <v>356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ROW(Source!A430)</f>
        <v>430</v>
      </c>
      <c r="B357">
        <v>94802338</v>
      </c>
      <c r="C357">
        <v>94802326</v>
      </c>
      <c r="D357">
        <v>121548</v>
      </c>
      <c r="E357">
        <v>1</v>
      </c>
      <c r="F357">
        <v>1</v>
      </c>
      <c r="G357">
        <v>1</v>
      </c>
      <c r="H357">
        <v>1</v>
      </c>
      <c r="I357" t="s">
        <v>28</v>
      </c>
      <c r="J357" t="s">
        <v>3</v>
      </c>
      <c r="K357" t="s">
        <v>705</v>
      </c>
      <c r="L357">
        <v>608254</v>
      </c>
      <c r="N357">
        <v>1013</v>
      </c>
      <c r="O357" t="s">
        <v>706</v>
      </c>
      <c r="P357" t="s">
        <v>706</v>
      </c>
      <c r="Q357">
        <v>1</v>
      </c>
      <c r="X357">
        <v>41.95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1</v>
      </c>
      <c r="AE357">
        <v>2</v>
      </c>
      <c r="AF357" t="s">
        <v>3</v>
      </c>
      <c r="AG357">
        <v>41.95</v>
      </c>
      <c r="AH357">
        <v>2</v>
      </c>
      <c r="AI357">
        <v>94802338</v>
      </c>
      <c r="AJ357">
        <v>357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ROW(Source!A430)</f>
        <v>430</v>
      </c>
      <c r="B358">
        <v>94802339</v>
      </c>
      <c r="C358">
        <v>94802326</v>
      </c>
      <c r="D358">
        <v>37802515</v>
      </c>
      <c r="E358">
        <v>1</v>
      </c>
      <c r="F358">
        <v>1</v>
      </c>
      <c r="G358">
        <v>1</v>
      </c>
      <c r="H358">
        <v>2</v>
      </c>
      <c r="I358" t="s">
        <v>774</v>
      </c>
      <c r="J358" t="s">
        <v>775</v>
      </c>
      <c r="K358" t="s">
        <v>776</v>
      </c>
      <c r="L358">
        <v>1368</v>
      </c>
      <c r="N358">
        <v>1011</v>
      </c>
      <c r="O358" t="s">
        <v>700</v>
      </c>
      <c r="P358" t="s">
        <v>700</v>
      </c>
      <c r="Q358">
        <v>1</v>
      </c>
      <c r="X358">
        <v>3.98</v>
      </c>
      <c r="Y358">
        <v>0</v>
      </c>
      <c r="Z358">
        <v>87.24</v>
      </c>
      <c r="AA358">
        <v>9</v>
      </c>
      <c r="AB358">
        <v>0</v>
      </c>
      <c r="AC358">
        <v>0</v>
      </c>
      <c r="AD358">
        <v>1</v>
      </c>
      <c r="AE358">
        <v>0</v>
      </c>
      <c r="AF358" t="s">
        <v>3</v>
      </c>
      <c r="AG358">
        <v>3.98</v>
      </c>
      <c r="AH358">
        <v>2</v>
      </c>
      <c r="AI358">
        <v>94802339</v>
      </c>
      <c r="AJ358">
        <v>358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ROW(Source!A430)</f>
        <v>430</v>
      </c>
      <c r="B359">
        <v>94802340</v>
      </c>
      <c r="C359">
        <v>94802326</v>
      </c>
      <c r="D359">
        <v>37802810</v>
      </c>
      <c r="E359">
        <v>1</v>
      </c>
      <c r="F359">
        <v>1</v>
      </c>
      <c r="G359">
        <v>1</v>
      </c>
      <c r="H359">
        <v>2</v>
      </c>
      <c r="I359" t="s">
        <v>992</v>
      </c>
      <c r="J359" t="s">
        <v>993</v>
      </c>
      <c r="K359" t="s">
        <v>994</v>
      </c>
      <c r="L359">
        <v>1368</v>
      </c>
      <c r="N359">
        <v>1011</v>
      </c>
      <c r="O359" t="s">
        <v>700</v>
      </c>
      <c r="P359" t="s">
        <v>700</v>
      </c>
      <c r="Q359">
        <v>1</v>
      </c>
      <c r="X359">
        <v>2.59</v>
      </c>
      <c r="Y359">
        <v>0</v>
      </c>
      <c r="Z359">
        <v>108.37</v>
      </c>
      <c r="AA359">
        <v>12.1</v>
      </c>
      <c r="AB359">
        <v>0</v>
      </c>
      <c r="AC359">
        <v>0</v>
      </c>
      <c r="AD359">
        <v>1</v>
      </c>
      <c r="AE359">
        <v>0</v>
      </c>
      <c r="AF359" t="s">
        <v>3</v>
      </c>
      <c r="AG359">
        <v>2.59</v>
      </c>
      <c r="AH359">
        <v>2</v>
      </c>
      <c r="AI359">
        <v>94802340</v>
      </c>
      <c r="AJ359">
        <v>359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ROW(Source!A430)</f>
        <v>430</v>
      </c>
      <c r="B360">
        <v>94802341</v>
      </c>
      <c r="C360">
        <v>94802326</v>
      </c>
      <c r="D360">
        <v>37803022</v>
      </c>
      <c r="E360">
        <v>1</v>
      </c>
      <c r="F360">
        <v>1</v>
      </c>
      <c r="G360">
        <v>1</v>
      </c>
      <c r="H360">
        <v>2</v>
      </c>
      <c r="I360" t="s">
        <v>874</v>
      </c>
      <c r="J360" t="s">
        <v>875</v>
      </c>
      <c r="K360" t="s">
        <v>876</v>
      </c>
      <c r="L360">
        <v>1368</v>
      </c>
      <c r="N360">
        <v>1011</v>
      </c>
      <c r="O360" t="s">
        <v>700</v>
      </c>
      <c r="P360" t="s">
        <v>700</v>
      </c>
      <c r="Q360">
        <v>1</v>
      </c>
      <c r="X360">
        <v>0.41</v>
      </c>
      <c r="Y360">
        <v>0</v>
      </c>
      <c r="Z360">
        <v>155.09</v>
      </c>
      <c r="AA360">
        <v>12.1</v>
      </c>
      <c r="AB360">
        <v>0</v>
      </c>
      <c r="AC360">
        <v>0</v>
      </c>
      <c r="AD360">
        <v>1</v>
      </c>
      <c r="AE360">
        <v>0</v>
      </c>
      <c r="AF360" t="s">
        <v>3</v>
      </c>
      <c r="AG360">
        <v>0.41</v>
      </c>
      <c r="AH360">
        <v>2</v>
      </c>
      <c r="AI360">
        <v>94802341</v>
      </c>
      <c r="AJ360">
        <v>360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ROW(Source!A430)</f>
        <v>430</v>
      </c>
      <c r="B361">
        <v>94802342</v>
      </c>
      <c r="C361">
        <v>94802326</v>
      </c>
      <c r="D361">
        <v>37803044</v>
      </c>
      <c r="E361">
        <v>1</v>
      </c>
      <c r="F361">
        <v>1</v>
      </c>
      <c r="G361">
        <v>1</v>
      </c>
      <c r="H361">
        <v>2</v>
      </c>
      <c r="I361" t="s">
        <v>995</v>
      </c>
      <c r="J361" t="s">
        <v>996</v>
      </c>
      <c r="K361" t="s">
        <v>997</v>
      </c>
      <c r="L361">
        <v>1368</v>
      </c>
      <c r="N361">
        <v>1011</v>
      </c>
      <c r="O361" t="s">
        <v>700</v>
      </c>
      <c r="P361" t="s">
        <v>700</v>
      </c>
      <c r="Q361">
        <v>1</v>
      </c>
      <c r="X361">
        <v>9.6999999999999993</v>
      </c>
      <c r="Y361">
        <v>0</v>
      </c>
      <c r="Z361">
        <v>65.92</v>
      </c>
      <c r="AA361">
        <v>10.35</v>
      </c>
      <c r="AB361">
        <v>0</v>
      </c>
      <c r="AC361">
        <v>0</v>
      </c>
      <c r="AD361">
        <v>1</v>
      </c>
      <c r="AE361">
        <v>0</v>
      </c>
      <c r="AF361" t="s">
        <v>3</v>
      </c>
      <c r="AG361">
        <v>9.6999999999999993</v>
      </c>
      <c r="AH361">
        <v>2</v>
      </c>
      <c r="AI361">
        <v>94802342</v>
      </c>
      <c r="AJ361">
        <v>361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ROW(Source!A430)</f>
        <v>430</v>
      </c>
      <c r="B362">
        <v>94802343</v>
      </c>
      <c r="C362">
        <v>94802326</v>
      </c>
      <c r="D362">
        <v>37803045</v>
      </c>
      <c r="E362">
        <v>1</v>
      </c>
      <c r="F362">
        <v>1</v>
      </c>
      <c r="G362">
        <v>1</v>
      </c>
      <c r="H362">
        <v>2</v>
      </c>
      <c r="I362" t="s">
        <v>998</v>
      </c>
      <c r="J362" t="s">
        <v>999</v>
      </c>
      <c r="K362" t="s">
        <v>1000</v>
      </c>
      <c r="L362">
        <v>1368</v>
      </c>
      <c r="N362">
        <v>1011</v>
      </c>
      <c r="O362" t="s">
        <v>700</v>
      </c>
      <c r="P362" t="s">
        <v>700</v>
      </c>
      <c r="Q362">
        <v>1</v>
      </c>
      <c r="X362">
        <v>21.66</v>
      </c>
      <c r="Y362">
        <v>0</v>
      </c>
      <c r="Z362">
        <v>95.99</v>
      </c>
      <c r="AA362">
        <v>12.9</v>
      </c>
      <c r="AB362">
        <v>0</v>
      </c>
      <c r="AC362">
        <v>0</v>
      </c>
      <c r="AD362">
        <v>1</v>
      </c>
      <c r="AE362">
        <v>0</v>
      </c>
      <c r="AF362" t="s">
        <v>3</v>
      </c>
      <c r="AG362">
        <v>21.66</v>
      </c>
      <c r="AH362">
        <v>2</v>
      </c>
      <c r="AI362">
        <v>94802343</v>
      </c>
      <c r="AJ362">
        <v>362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ROW(Source!A430)</f>
        <v>430</v>
      </c>
      <c r="B363">
        <v>94802344</v>
      </c>
      <c r="C363">
        <v>94802326</v>
      </c>
      <c r="D363">
        <v>37803111</v>
      </c>
      <c r="E363">
        <v>1</v>
      </c>
      <c r="F363">
        <v>1</v>
      </c>
      <c r="G363">
        <v>1</v>
      </c>
      <c r="H363">
        <v>2</v>
      </c>
      <c r="I363" t="s">
        <v>880</v>
      </c>
      <c r="J363" t="s">
        <v>881</v>
      </c>
      <c r="K363" t="s">
        <v>882</v>
      </c>
      <c r="L363">
        <v>1368</v>
      </c>
      <c r="N363">
        <v>1011</v>
      </c>
      <c r="O363" t="s">
        <v>700</v>
      </c>
      <c r="P363" t="s">
        <v>700</v>
      </c>
      <c r="Q363">
        <v>1</v>
      </c>
      <c r="X363">
        <v>2.96</v>
      </c>
      <c r="Y363">
        <v>0</v>
      </c>
      <c r="Z363">
        <v>119.25</v>
      </c>
      <c r="AA363">
        <v>10.35</v>
      </c>
      <c r="AB363">
        <v>0</v>
      </c>
      <c r="AC363">
        <v>0</v>
      </c>
      <c r="AD363">
        <v>1</v>
      </c>
      <c r="AE363">
        <v>0</v>
      </c>
      <c r="AF363" t="s">
        <v>3</v>
      </c>
      <c r="AG363">
        <v>2.96</v>
      </c>
      <c r="AH363">
        <v>2</v>
      </c>
      <c r="AI363">
        <v>94802344</v>
      </c>
      <c r="AJ363">
        <v>363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ROW(Source!A430)</f>
        <v>430</v>
      </c>
      <c r="B364">
        <v>94802345</v>
      </c>
      <c r="C364">
        <v>94802326</v>
      </c>
      <c r="D364">
        <v>37803126</v>
      </c>
      <c r="E364">
        <v>1</v>
      </c>
      <c r="F364">
        <v>1</v>
      </c>
      <c r="G364">
        <v>1</v>
      </c>
      <c r="H364">
        <v>2</v>
      </c>
      <c r="I364" t="s">
        <v>1001</v>
      </c>
      <c r="J364" t="s">
        <v>1002</v>
      </c>
      <c r="K364" t="s">
        <v>1003</v>
      </c>
      <c r="L364">
        <v>1368</v>
      </c>
      <c r="N364">
        <v>1011</v>
      </c>
      <c r="O364" t="s">
        <v>700</v>
      </c>
      <c r="P364" t="s">
        <v>700</v>
      </c>
      <c r="Q364">
        <v>1</v>
      </c>
      <c r="X364">
        <v>0.65</v>
      </c>
      <c r="Y364">
        <v>0</v>
      </c>
      <c r="Z364">
        <v>126.1</v>
      </c>
      <c r="AA364">
        <v>12.1</v>
      </c>
      <c r="AB364">
        <v>0</v>
      </c>
      <c r="AC364">
        <v>0</v>
      </c>
      <c r="AD364">
        <v>1</v>
      </c>
      <c r="AE364">
        <v>0</v>
      </c>
      <c r="AF364" t="s">
        <v>3</v>
      </c>
      <c r="AG364">
        <v>0.65</v>
      </c>
      <c r="AH364">
        <v>2</v>
      </c>
      <c r="AI364">
        <v>94802345</v>
      </c>
      <c r="AJ364">
        <v>364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ROW(Source!A430)</f>
        <v>430</v>
      </c>
      <c r="B365">
        <v>94802346</v>
      </c>
      <c r="C365">
        <v>94802326</v>
      </c>
      <c r="D365">
        <v>37777281</v>
      </c>
      <c r="E365">
        <v>1</v>
      </c>
      <c r="F365">
        <v>1</v>
      </c>
      <c r="G365">
        <v>1</v>
      </c>
      <c r="H365">
        <v>3</v>
      </c>
      <c r="I365" t="s">
        <v>1004</v>
      </c>
      <c r="J365" t="s">
        <v>1005</v>
      </c>
      <c r="K365" t="s">
        <v>1006</v>
      </c>
      <c r="L365">
        <v>1339</v>
      </c>
      <c r="N365">
        <v>1007</v>
      </c>
      <c r="O365" t="s">
        <v>52</v>
      </c>
      <c r="P365" t="s">
        <v>52</v>
      </c>
      <c r="Q365">
        <v>1</v>
      </c>
      <c r="X365">
        <v>15</v>
      </c>
      <c r="Y365">
        <v>276.91000000000003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0</v>
      </c>
      <c r="AF365" t="s">
        <v>3</v>
      </c>
      <c r="AG365">
        <v>15</v>
      </c>
      <c r="AH365">
        <v>2</v>
      </c>
      <c r="AI365">
        <v>94802346</v>
      </c>
      <c r="AJ365">
        <v>365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ROW(Source!A430)</f>
        <v>430</v>
      </c>
      <c r="B366">
        <v>94802347</v>
      </c>
      <c r="C366">
        <v>94802326</v>
      </c>
      <c r="D366">
        <v>37777285</v>
      </c>
      <c r="E366">
        <v>1</v>
      </c>
      <c r="F366">
        <v>1</v>
      </c>
      <c r="G366">
        <v>1</v>
      </c>
      <c r="H366">
        <v>3</v>
      </c>
      <c r="I366" t="s">
        <v>1007</v>
      </c>
      <c r="J366" t="s">
        <v>1008</v>
      </c>
      <c r="K366" t="s">
        <v>1009</v>
      </c>
      <c r="L366">
        <v>1339</v>
      </c>
      <c r="N366">
        <v>1007</v>
      </c>
      <c r="O366" t="s">
        <v>52</v>
      </c>
      <c r="P366" t="s">
        <v>52</v>
      </c>
      <c r="Q366">
        <v>1</v>
      </c>
      <c r="X366">
        <v>189</v>
      </c>
      <c r="Y366">
        <v>256.51</v>
      </c>
      <c r="Z366">
        <v>0</v>
      </c>
      <c r="AA366">
        <v>0</v>
      </c>
      <c r="AB366">
        <v>0</v>
      </c>
      <c r="AC366">
        <v>0</v>
      </c>
      <c r="AD366">
        <v>1</v>
      </c>
      <c r="AE366">
        <v>0</v>
      </c>
      <c r="AF366" t="s">
        <v>3</v>
      </c>
      <c r="AG366">
        <v>189</v>
      </c>
      <c r="AH366">
        <v>2</v>
      </c>
      <c r="AI366">
        <v>94802347</v>
      </c>
      <c r="AJ366">
        <v>366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ROW(Source!A430)</f>
        <v>430</v>
      </c>
      <c r="B367">
        <v>94802348</v>
      </c>
      <c r="C367">
        <v>94802326</v>
      </c>
      <c r="D367">
        <v>37777802</v>
      </c>
      <c r="E367">
        <v>1</v>
      </c>
      <c r="F367">
        <v>1</v>
      </c>
      <c r="G367">
        <v>1</v>
      </c>
      <c r="H367">
        <v>3</v>
      </c>
      <c r="I367" t="s">
        <v>883</v>
      </c>
      <c r="J367" t="s">
        <v>884</v>
      </c>
      <c r="K367" t="s">
        <v>885</v>
      </c>
      <c r="L367">
        <v>1339</v>
      </c>
      <c r="N367">
        <v>1007</v>
      </c>
      <c r="O367" t="s">
        <v>52</v>
      </c>
      <c r="P367" t="s">
        <v>52</v>
      </c>
      <c r="Q367">
        <v>1</v>
      </c>
      <c r="X367">
        <v>30</v>
      </c>
      <c r="Y367">
        <v>2.4700000000000002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0</v>
      </c>
      <c r="AF367" t="s">
        <v>3</v>
      </c>
      <c r="AG367">
        <v>30</v>
      </c>
      <c r="AH367">
        <v>2</v>
      </c>
      <c r="AI367">
        <v>94802348</v>
      </c>
      <c r="AJ367">
        <v>367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ROW(Source!A431)</f>
        <v>431</v>
      </c>
      <c r="B368">
        <v>94802350</v>
      </c>
      <c r="C368">
        <v>94802349</v>
      </c>
      <c r="D368">
        <v>121548</v>
      </c>
      <c r="E368">
        <v>1</v>
      </c>
      <c r="F368">
        <v>1</v>
      </c>
      <c r="G368">
        <v>1</v>
      </c>
      <c r="H368">
        <v>1</v>
      </c>
      <c r="I368" t="s">
        <v>28</v>
      </c>
      <c r="J368" t="s">
        <v>3</v>
      </c>
      <c r="K368" t="s">
        <v>705</v>
      </c>
      <c r="L368">
        <v>608254</v>
      </c>
      <c r="N368">
        <v>1013</v>
      </c>
      <c r="O368" t="s">
        <v>706</v>
      </c>
      <c r="P368" t="s">
        <v>706</v>
      </c>
      <c r="Q368">
        <v>1</v>
      </c>
      <c r="X368">
        <v>0.66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1</v>
      </c>
      <c r="AE368">
        <v>2</v>
      </c>
      <c r="AF368" t="s">
        <v>3</v>
      </c>
      <c r="AG368">
        <v>0.66</v>
      </c>
      <c r="AH368">
        <v>2</v>
      </c>
      <c r="AI368">
        <v>94802350</v>
      </c>
      <c r="AJ368">
        <v>368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ROW(Source!A431)</f>
        <v>431</v>
      </c>
      <c r="B369">
        <v>94802351</v>
      </c>
      <c r="C369">
        <v>94802349</v>
      </c>
      <c r="D369">
        <v>37803016</v>
      </c>
      <c r="E369">
        <v>1</v>
      </c>
      <c r="F369">
        <v>1</v>
      </c>
      <c r="G369">
        <v>1</v>
      </c>
      <c r="H369">
        <v>2</v>
      </c>
      <c r="I369" t="s">
        <v>1010</v>
      </c>
      <c r="J369" t="s">
        <v>1011</v>
      </c>
      <c r="K369" t="s">
        <v>1012</v>
      </c>
      <c r="L369">
        <v>1368</v>
      </c>
      <c r="N369">
        <v>1011</v>
      </c>
      <c r="O369" t="s">
        <v>700</v>
      </c>
      <c r="P369" t="s">
        <v>700</v>
      </c>
      <c r="Q369">
        <v>1</v>
      </c>
      <c r="X369">
        <v>0.33</v>
      </c>
      <c r="Y369">
        <v>0</v>
      </c>
      <c r="Z369">
        <v>125.61</v>
      </c>
      <c r="AA369">
        <v>19.350000000000001</v>
      </c>
      <c r="AB369">
        <v>0</v>
      </c>
      <c r="AC369">
        <v>0</v>
      </c>
      <c r="AD369">
        <v>1</v>
      </c>
      <c r="AE369">
        <v>0</v>
      </c>
      <c r="AF369" t="s">
        <v>3</v>
      </c>
      <c r="AG369">
        <v>0.33</v>
      </c>
      <c r="AH369">
        <v>2</v>
      </c>
      <c r="AI369">
        <v>94802351</v>
      </c>
      <c r="AJ369">
        <v>369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ROW(Source!A431)</f>
        <v>431</v>
      </c>
      <c r="B370">
        <v>94802352</v>
      </c>
      <c r="C370">
        <v>94802349</v>
      </c>
      <c r="D370">
        <v>37730408</v>
      </c>
      <c r="E370">
        <v>1</v>
      </c>
      <c r="F370">
        <v>1</v>
      </c>
      <c r="G370">
        <v>1</v>
      </c>
      <c r="H370">
        <v>3</v>
      </c>
      <c r="I370" t="s">
        <v>1013</v>
      </c>
      <c r="J370" t="s">
        <v>1014</v>
      </c>
      <c r="K370" t="s">
        <v>1015</v>
      </c>
      <c r="L370">
        <v>1348</v>
      </c>
      <c r="N370">
        <v>1009</v>
      </c>
      <c r="O370" t="s">
        <v>170</v>
      </c>
      <c r="P370" t="s">
        <v>170</v>
      </c>
      <c r="Q370">
        <v>1000</v>
      </c>
      <c r="X370">
        <v>1.03</v>
      </c>
      <c r="Y370">
        <v>1753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 t="s">
        <v>3</v>
      </c>
      <c r="AG370">
        <v>1.03</v>
      </c>
      <c r="AH370">
        <v>2</v>
      </c>
      <c r="AI370">
        <v>94802352</v>
      </c>
      <c r="AJ370">
        <v>370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ROW(Source!A432)</f>
        <v>432</v>
      </c>
      <c r="B371">
        <v>94802394</v>
      </c>
      <c r="C371">
        <v>94802393</v>
      </c>
      <c r="D371">
        <v>23134555</v>
      </c>
      <c r="E371">
        <v>1</v>
      </c>
      <c r="F371">
        <v>1</v>
      </c>
      <c r="G371">
        <v>1</v>
      </c>
      <c r="H371">
        <v>1</v>
      </c>
      <c r="I371" t="s">
        <v>1016</v>
      </c>
      <c r="J371" t="s">
        <v>3</v>
      </c>
      <c r="K371" t="s">
        <v>1017</v>
      </c>
      <c r="L371">
        <v>1369</v>
      </c>
      <c r="N371">
        <v>1013</v>
      </c>
      <c r="O371" t="s">
        <v>696</v>
      </c>
      <c r="P371" t="s">
        <v>696</v>
      </c>
      <c r="Q371">
        <v>1</v>
      </c>
      <c r="X371">
        <v>41.49</v>
      </c>
      <c r="Y371">
        <v>0</v>
      </c>
      <c r="Z371">
        <v>0</v>
      </c>
      <c r="AA371">
        <v>0</v>
      </c>
      <c r="AB371">
        <v>8.3800000000000008</v>
      </c>
      <c r="AC371">
        <v>0</v>
      </c>
      <c r="AD371">
        <v>1</v>
      </c>
      <c r="AE371">
        <v>1</v>
      </c>
      <c r="AF371" t="s">
        <v>3</v>
      </c>
      <c r="AG371">
        <v>41.49</v>
      </c>
      <c r="AH371">
        <v>2</v>
      </c>
      <c r="AI371">
        <v>94802394</v>
      </c>
      <c r="AJ371">
        <v>371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ROW(Source!A432)</f>
        <v>432</v>
      </c>
      <c r="B372">
        <v>94802395</v>
      </c>
      <c r="C372">
        <v>94802393</v>
      </c>
      <c r="D372">
        <v>121548</v>
      </c>
      <c r="E372">
        <v>1</v>
      </c>
      <c r="F372">
        <v>1</v>
      </c>
      <c r="G372">
        <v>1</v>
      </c>
      <c r="H372">
        <v>1</v>
      </c>
      <c r="I372" t="s">
        <v>28</v>
      </c>
      <c r="J372" t="s">
        <v>3</v>
      </c>
      <c r="K372" t="s">
        <v>705</v>
      </c>
      <c r="L372">
        <v>608254</v>
      </c>
      <c r="N372">
        <v>1013</v>
      </c>
      <c r="O372" t="s">
        <v>706</v>
      </c>
      <c r="P372" t="s">
        <v>706</v>
      </c>
      <c r="Q372">
        <v>1</v>
      </c>
      <c r="X372">
        <v>25.4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2</v>
      </c>
      <c r="AF372" t="s">
        <v>3</v>
      </c>
      <c r="AG372">
        <v>25.4</v>
      </c>
      <c r="AH372">
        <v>2</v>
      </c>
      <c r="AI372">
        <v>94802395</v>
      </c>
      <c r="AJ372">
        <v>372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ROW(Source!A432)</f>
        <v>432</v>
      </c>
      <c r="B373">
        <v>94802396</v>
      </c>
      <c r="C373">
        <v>94802393</v>
      </c>
      <c r="D373">
        <v>37802515</v>
      </c>
      <c r="E373">
        <v>1</v>
      </c>
      <c r="F373">
        <v>1</v>
      </c>
      <c r="G373">
        <v>1</v>
      </c>
      <c r="H373">
        <v>2</v>
      </c>
      <c r="I373" t="s">
        <v>774</v>
      </c>
      <c r="J373" t="s">
        <v>775</v>
      </c>
      <c r="K373" t="s">
        <v>776</v>
      </c>
      <c r="L373">
        <v>1368</v>
      </c>
      <c r="N373">
        <v>1011</v>
      </c>
      <c r="O373" t="s">
        <v>700</v>
      </c>
      <c r="P373" t="s">
        <v>700</v>
      </c>
      <c r="Q373">
        <v>1</v>
      </c>
      <c r="X373">
        <v>2.4900000000000002</v>
      </c>
      <c r="Y373">
        <v>0</v>
      </c>
      <c r="Z373">
        <v>87.24</v>
      </c>
      <c r="AA373">
        <v>9</v>
      </c>
      <c r="AB373">
        <v>0</v>
      </c>
      <c r="AC373">
        <v>0</v>
      </c>
      <c r="AD373">
        <v>1</v>
      </c>
      <c r="AE373">
        <v>0</v>
      </c>
      <c r="AF373" t="s">
        <v>3</v>
      </c>
      <c r="AG373">
        <v>2.4900000000000002</v>
      </c>
      <c r="AH373">
        <v>2</v>
      </c>
      <c r="AI373">
        <v>94802396</v>
      </c>
      <c r="AJ373">
        <v>373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ROW(Source!A432)</f>
        <v>432</v>
      </c>
      <c r="B374">
        <v>94802397</v>
      </c>
      <c r="C374">
        <v>94802393</v>
      </c>
      <c r="D374">
        <v>37802535</v>
      </c>
      <c r="E374">
        <v>1</v>
      </c>
      <c r="F374">
        <v>1</v>
      </c>
      <c r="G374">
        <v>1</v>
      </c>
      <c r="H374">
        <v>2</v>
      </c>
      <c r="I374" t="s">
        <v>1018</v>
      </c>
      <c r="J374" t="s">
        <v>1019</v>
      </c>
      <c r="K374" t="s">
        <v>1020</v>
      </c>
      <c r="L374">
        <v>1368</v>
      </c>
      <c r="N374">
        <v>1011</v>
      </c>
      <c r="O374" t="s">
        <v>700</v>
      </c>
      <c r="P374" t="s">
        <v>700</v>
      </c>
      <c r="Q374">
        <v>1</v>
      </c>
      <c r="X374">
        <v>4.08</v>
      </c>
      <c r="Y374">
        <v>0</v>
      </c>
      <c r="Z374">
        <v>0.88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3</v>
      </c>
      <c r="AG374">
        <v>4.08</v>
      </c>
      <c r="AH374">
        <v>2</v>
      </c>
      <c r="AI374">
        <v>94802397</v>
      </c>
      <c r="AJ374">
        <v>374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ROW(Source!A432)</f>
        <v>432</v>
      </c>
      <c r="B375">
        <v>94802398</v>
      </c>
      <c r="C375">
        <v>94802393</v>
      </c>
      <c r="D375">
        <v>37803016</v>
      </c>
      <c r="E375">
        <v>1</v>
      </c>
      <c r="F375">
        <v>1</v>
      </c>
      <c r="G375">
        <v>1</v>
      </c>
      <c r="H375">
        <v>2</v>
      </c>
      <c r="I375" t="s">
        <v>1010</v>
      </c>
      <c r="J375" t="s">
        <v>1011</v>
      </c>
      <c r="K375" t="s">
        <v>1012</v>
      </c>
      <c r="L375">
        <v>1368</v>
      </c>
      <c r="N375">
        <v>1011</v>
      </c>
      <c r="O375" t="s">
        <v>700</v>
      </c>
      <c r="P375" t="s">
        <v>700</v>
      </c>
      <c r="Q375">
        <v>1</v>
      </c>
      <c r="X375">
        <v>2.31</v>
      </c>
      <c r="Y375">
        <v>0</v>
      </c>
      <c r="Z375">
        <v>125.61</v>
      </c>
      <c r="AA375">
        <v>19.350000000000001</v>
      </c>
      <c r="AB375">
        <v>0</v>
      </c>
      <c r="AC375">
        <v>0</v>
      </c>
      <c r="AD375">
        <v>1</v>
      </c>
      <c r="AE375">
        <v>0</v>
      </c>
      <c r="AF375" t="s">
        <v>3</v>
      </c>
      <c r="AG375">
        <v>2.31</v>
      </c>
      <c r="AH375">
        <v>2</v>
      </c>
      <c r="AI375">
        <v>94802398</v>
      </c>
      <c r="AJ375">
        <v>375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ROW(Source!A432)</f>
        <v>432</v>
      </c>
      <c r="B376">
        <v>94802399</v>
      </c>
      <c r="C376">
        <v>94802393</v>
      </c>
      <c r="D376">
        <v>37803048</v>
      </c>
      <c r="E376">
        <v>1</v>
      </c>
      <c r="F376">
        <v>1</v>
      </c>
      <c r="G376">
        <v>1</v>
      </c>
      <c r="H376">
        <v>2</v>
      </c>
      <c r="I376" t="s">
        <v>1021</v>
      </c>
      <c r="J376" t="s">
        <v>1022</v>
      </c>
      <c r="K376" t="s">
        <v>1023</v>
      </c>
      <c r="L376">
        <v>1368</v>
      </c>
      <c r="N376">
        <v>1011</v>
      </c>
      <c r="O376" t="s">
        <v>700</v>
      </c>
      <c r="P376" t="s">
        <v>700</v>
      </c>
      <c r="Q376">
        <v>1</v>
      </c>
      <c r="X376">
        <v>2.93</v>
      </c>
      <c r="Y376">
        <v>0</v>
      </c>
      <c r="Z376">
        <v>214.98</v>
      </c>
      <c r="AA376">
        <v>12.1</v>
      </c>
      <c r="AB376">
        <v>0</v>
      </c>
      <c r="AC376">
        <v>0</v>
      </c>
      <c r="AD376">
        <v>1</v>
      </c>
      <c r="AE376">
        <v>0</v>
      </c>
      <c r="AF376" t="s">
        <v>3</v>
      </c>
      <c r="AG376">
        <v>2.93</v>
      </c>
      <c r="AH376">
        <v>2</v>
      </c>
      <c r="AI376">
        <v>94802399</v>
      </c>
      <c r="AJ376">
        <v>376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ROW(Source!A432)</f>
        <v>432</v>
      </c>
      <c r="B377">
        <v>94802400</v>
      </c>
      <c r="C377">
        <v>94802393</v>
      </c>
      <c r="D377">
        <v>37803071</v>
      </c>
      <c r="E377">
        <v>1</v>
      </c>
      <c r="F377">
        <v>1</v>
      </c>
      <c r="G377">
        <v>1</v>
      </c>
      <c r="H377">
        <v>2</v>
      </c>
      <c r="I377" t="s">
        <v>1024</v>
      </c>
      <c r="J377" t="s">
        <v>1025</v>
      </c>
      <c r="K377" t="s">
        <v>1026</v>
      </c>
      <c r="L377">
        <v>1368</v>
      </c>
      <c r="N377">
        <v>1011</v>
      </c>
      <c r="O377" t="s">
        <v>700</v>
      </c>
      <c r="P377" t="s">
        <v>700</v>
      </c>
      <c r="Q377">
        <v>1</v>
      </c>
      <c r="X377">
        <v>4.62</v>
      </c>
      <c r="Y377">
        <v>0</v>
      </c>
      <c r="Z377">
        <v>467.83</v>
      </c>
      <c r="AA377">
        <v>12.9</v>
      </c>
      <c r="AB377">
        <v>0</v>
      </c>
      <c r="AC377">
        <v>0</v>
      </c>
      <c r="AD377">
        <v>1</v>
      </c>
      <c r="AE377">
        <v>0</v>
      </c>
      <c r="AF377" t="s">
        <v>3</v>
      </c>
      <c r="AG377">
        <v>4.62</v>
      </c>
      <c r="AH377">
        <v>2</v>
      </c>
      <c r="AI377">
        <v>94802400</v>
      </c>
      <c r="AJ377">
        <v>377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ROW(Source!A432)</f>
        <v>432</v>
      </c>
      <c r="B378">
        <v>94802401</v>
      </c>
      <c r="C378">
        <v>94802393</v>
      </c>
      <c r="D378">
        <v>37803111</v>
      </c>
      <c r="E378">
        <v>1</v>
      </c>
      <c r="F378">
        <v>1</v>
      </c>
      <c r="G378">
        <v>1</v>
      </c>
      <c r="H378">
        <v>2</v>
      </c>
      <c r="I378" t="s">
        <v>880</v>
      </c>
      <c r="J378" t="s">
        <v>881</v>
      </c>
      <c r="K378" t="s">
        <v>882</v>
      </c>
      <c r="L378">
        <v>1368</v>
      </c>
      <c r="N378">
        <v>1011</v>
      </c>
      <c r="O378" t="s">
        <v>700</v>
      </c>
      <c r="P378" t="s">
        <v>700</v>
      </c>
      <c r="Q378">
        <v>1</v>
      </c>
      <c r="X378">
        <v>0.77</v>
      </c>
      <c r="Y378">
        <v>0</v>
      </c>
      <c r="Z378">
        <v>119.25</v>
      </c>
      <c r="AA378">
        <v>10.35</v>
      </c>
      <c r="AB378">
        <v>0</v>
      </c>
      <c r="AC378">
        <v>0</v>
      </c>
      <c r="AD378">
        <v>1</v>
      </c>
      <c r="AE378">
        <v>0</v>
      </c>
      <c r="AF378" t="s">
        <v>3</v>
      </c>
      <c r="AG378">
        <v>0.77</v>
      </c>
      <c r="AH378">
        <v>2</v>
      </c>
      <c r="AI378">
        <v>94802401</v>
      </c>
      <c r="AJ378">
        <v>378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ROW(Source!A432)</f>
        <v>432</v>
      </c>
      <c r="B379">
        <v>94802402</v>
      </c>
      <c r="C379">
        <v>94802393</v>
      </c>
      <c r="D379">
        <v>37803385</v>
      </c>
      <c r="E379">
        <v>1</v>
      </c>
      <c r="F379">
        <v>1</v>
      </c>
      <c r="G379">
        <v>1</v>
      </c>
      <c r="H379">
        <v>2</v>
      </c>
      <c r="I379" t="s">
        <v>1027</v>
      </c>
      <c r="J379" t="s">
        <v>1028</v>
      </c>
      <c r="K379" t="s">
        <v>1029</v>
      </c>
      <c r="L379">
        <v>1368</v>
      </c>
      <c r="N379">
        <v>1011</v>
      </c>
      <c r="O379" t="s">
        <v>700</v>
      </c>
      <c r="P379" t="s">
        <v>700</v>
      </c>
      <c r="Q379">
        <v>1</v>
      </c>
      <c r="X379">
        <v>2.2200000000000002</v>
      </c>
      <c r="Y379">
        <v>0</v>
      </c>
      <c r="Z379">
        <v>3.88</v>
      </c>
      <c r="AA379">
        <v>0</v>
      </c>
      <c r="AB379">
        <v>0</v>
      </c>
      <c r="AC379">
        <v>0</v>
      </c>
      <c r="AD379">
        <v>1</v>
      </c>
      <c r="AE379">
        <v>0</v>
      </c>
      <c r="AF379" t="s">
        <v>3</v>
      </c>
      <c r="AG379">
        <v>2.2200000000000002</v>
      </c>
      <c r="AH379">
        <v>2</v>
      </c>
      <c r="AI379">
        <v>94802402</v>
      </c>
      <c r="AJ379">
        <v>379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ROW(Source!A432)</f>
        <v>432</v>
      </c>
      <c r="B380">
        <v>94802403</v>
      </c>
      <c r="C380">
        <v>94802393</v>
      </c>
      <c r="D380">
        <v>37804072</v>
      </c>
      <c r="E380">
        <v>1</v>
      </c>
      <c r="F380">
        <v>1</v>
      </c>
      <c r="G380">
        <v>1</v>
      </c>
      <c r="H380">
        <v>2</v>
      </c>
      <c r="I380" t="s">
        <v>1030</v>
      </c>
      <c r="J380" t="s">
        <v>1031</v>
      </c>
      <c r="K380" t="s">
        <v>1032</v>
      </c>
      <c r="L380">
        <v>1368</v>
      </c>
      <c r="N380">
        <v>1011</v>
      </c>
      <c r="O380" t="s">
        <v>700</v>
      </c>
      <c r="P380" t="s">
        <v>700</v>
      </c>
      <c r="Q380">
        <v>1</v>
      </c>
      <c r="X380">
        <v>0.05</v>
      </c>
      <c r="Y380">
        <v>0</v>
      </c>
      <c r="Z380">
        <v>1.73</v>
      </c>
      <c r="AA380">
        <v>0</v>
      </c>
      <c r="AB380">
        <v>0</v>
      </c>
      <c r="AC380">
        <v>0</v>
      </c>
      <c r="AD380">
        <v>1</v>
      </c>
      <c r="AE380">
        <v>0</v>
      </c>
      <c r="AF380" t="s">
        <v>3</v>
      </c>
      <c r="AG380">
        <v>0.05</v>
      </c>
      <c r="AH380">
        <v>2</v>
      </c>
      <c r="AI380">
        <v>94802403</v>
      </c>
      <c r="AJ380">
        <v>380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ROW(Source!A432)</f>
        <v>432</v>
      </c>
      <c r="B381">
        <v>94802404</v>
      </c>
      <c r="C381">
        <v>94802393</v>
      </c>
      <c r="D381">
        <v>37804095</v>
      </c>
      <c r="E381">
        <v>1</v>
      </c>
      <c r="F381">
        <v>1</v>
      </c>
      <c r="G381">
        <v>1</v>
      </c>
      <c r="H381">
        <v>2</v>
      </c>
      <c r="I381" t="s">
        <v>766</v>
      </c>
      <c r="J381" t="s">
        <v>767</v>
      </c>
      <c r="K381" t="s">
        <v>768</v>
      </c>
      <c r="L381">
        <v>1368</v>
      </c>
      <c r="N381">
        <v>1011</v>
      </c>
      <c r="O381" t="s">
        <v>700</v>
      </c>
      <c r="P381" t="s">
        <v>700</v>
      </c>
      <c r="Q381">
        <v>1</v>
      </c>
      <c r="X381">
        <v>1.07</v>
      </c>
      <c r="Y381">
        <v>0</v>
      </c>
      <c r="Z381">
        <v>1.69</v>
      </c>
      <c r="AA381">
        <v>0</v>
      </c>
      <c r="AB381">
        <v>0</v>
      </c>
      <c r="AC381">
        <v>0</v>
      </c>
      <c r="AD381">
        <v>1</v>
      </c>
      <c r="AE381">
        <v>0</v>
      </c>
      <c r="AF381" t="s">
        <v>3</v>
      </c>
      <c r="AG381">
        <v>1.07</v>
      </c>
      <c r="AH381">
        <v>2</v>
      </c>
      <c r="AI381">
        <v>94802404</v>
      </c>
      <c r="AJ381">
        <v>381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ROW(Source!A432)</f>
        <v>432</v>
      </c>
      <c r="B382">
        <v>94802405</v>
      </c>
      <c r="C382">
        <v>94802393</v>
      </c>
      <c r="D382">
        <v>37804342</v>
      </c>
      <c r="E382">
        <v>1</v>
      </c>
      <c r="F382">
        <v>1</v>
      </c>
      <c r="G382">
        <v>1</v>
      </c>
      <c r="H382">
        <v>2</v>
      </c>
      <c r="I382" t="s">
        <v>1033</v>
      </c>
      <c r="J382" t="s">
        <v>1034</v>
      </c>
      <c r="K382" t="s">
        <v>1035</v>
      </c>
      <c r="L382">
        <v>1368</v>
      </c>
      <c r="N382">
        <v>1011</v>
      </c>
      <c r="O382" t="s">
        <v>700</v>
      </c>
      <c r="P382" t="s">
        <v>700</v>
      </c>
      <c r="Q382">
        <v>1</v>
      </c>
      <c r="X382">
        <v>5.87</v>
      </c>
      <c r="Y382">
        <v>0</v>
      </c>
      <c r="Z382">
        <v>777.55</v>
      </c>
      <c r="AA382">
        <v>14.72</v>
      </c>
      <c r="AB382">
        <v>0</v>
      </c>
      <c r="AC382">
        <v>0</v>
      </c>
      <c r="AD382">
        <v>1</v>
      </c>
      <c r="AE382">
        <v>0</v>
      </c>
      <c r="AF382" t="s">
        <v>3</v>
      </c>
      <c r="AG382">
        <v>5.87</v>
      </c>
      <c r="AH382">
        <v>2</v>
      </c>
      <c r="AI382">
        <v>94802405</v>
      </c>
      <c r="AJ382">
        <v>382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ROW(Source!A432)</f>
        <v>432</v>
      </c>
      <c r="B383">
        <v>94802406</v>
      </c>
      <c r="C383">
        <v>94802393</v>
      </c>
      <c r="D383">
        <v>37804343</v>
      </c>
      <c r="E383">
        <v>1</v>
      </c>
      <c r="F383">
        <v>1</v>
      </c>
      <c r="G383">
        <v>1</v>
      </c>
      <c r="H383">
        <v>2</v>
      </c>
      <c r="I383" t="s">
        <v>1036</v>
      </c>
      <c r="J383" t="s">
        <v>1037</v>
      </c>
      <c r="K383" t="s">
        <v>1038</v>
      </c>
      <c r="L383">
        <v>1368</v>
      </c>
      <c r="N383">
        <v>1011</v>
      </c>
      <c r="O383" t="s">
        <v>700</v>
      </c>
      <c r="P383" t="s">
        <v>700</v>
      </c>
      <c r="Q383">
        <v>1</v>
      </c>
      <c r="X383">
        <v>1.85</v>
      </c>
      <c r="Y383">
        <v>0</v>
      </c>
      <c r="Z383">
        <v>21.46</v>
      </c>
      <c r="AA383">
        <v>0</v>
      </c>
      <c r="AB383">
        <v>0</v>
      </c>
      <c r="AC383">
        <v>0</v>
      </c>
      <c r="AD383">
        <v>1</v>
      </c>
      <c r="AE383">
        <v>0</v>
      </c>
      <c r="AF383" t="s">
        <v>3</v>
      </c>
      <c r="AG383">
        <v>1.85</v>
      </c>
      <c r="AH383">
        <v>2</v>
      </c>
      <c r="AI383">
        <v>94802406</v>
      </c>
      <c r="AJ383">
        <v>383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ROW(Source!A432)</f>
        <v>432</v>
      </c>
      <c r="B384">
        <v>94802407</v>
      </c>
      <c r="C384">
        <v>94802393</v>
      </c>
      <c r="D384">
        <v>37804346</v>
      </c>
      <c r="E384">
        <v>1</v>
      </c>
      <c r="F384">
        <v>1</v>
      </c>
      <c r="G384">
        <v>1</v>
      </c>
      <c r="H384">
        <v>2</v>
      </c>
      <c r="I384" t="s">
        <v>1039</v>
      </c>
      <c r="J384" t="s">
        <v>1040</v>
      </c>
      <c r="K384" t="s">
        <v>1041</v>
      </c>
      <c r="L384">
        <v>1368</v>
      </c>
      <c r="N384">
        <v>1011</v>
      </c>
      <c r="O384" t="s">
        <v>700</v>
      </c>
      <c r="P384" t="s">
        <v>700</v>
      </c>
      <c r="Q384">
        <v>1</v>
      </c>
      <c r="X384">
        <v>2.33</v>
      </c>
      <c r="Y384">
        <v>0</v>
      </c>
      <c r="Z384">
        <v>526.5</v>
      </c>
      <c r="AA384">
        <v>12.1</v>
      </c>
      <c r="AB384">
        <v>0</v>
      </c>
      <c r="AC384">
        <v>0</v>
      </c>
      <c r="AD384">
        <v>1</v>
      </c>
      <c r="AE384">
        <v>0</v>
      </c>
      <c r="AF384" t="s">
        <v>3</v>
      </c>
      <c r="AG384">
        <v>2.33</v>
      </c>
      <c r="AH384">
        <v>2</v>
      </c>
      <c r="AI384">
        <v>94802407</v>
      </c>
      <c r="AJ384">
        <v>384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ROW(Source!A432)</f>
        <v>432</v>
      </c>
      <c r="B385">
        <v>94802408</v>
      </c>
      <c r="C385">
        <v>94802393</v>
      </c>
      <c r="D385">
        <v>37804368</v>
      </c>
      <c r="E385">
        <v>1</v>
      </c>
      <c r="F385">
        <v>1</v>
      </c>
      <c r="G385">
        <v>1</v>
      </c>
      <c r="H385">
        <v>2</v>
      </c>
      <c r="I385" t="s">
        <v>1042</v>
      </c>
      <c r="J385" t="s">
        <v>1043</v>
      </c>
      <c r="K385" t="s">
        <v>1044</v>
      </c>
      <c r="L385">
        <v>1368</v>
      </c>
      <c r="N385">
        <v>1011</v>
      </c>
      <c r="O385" t="s">
        <v>700</v>
      </c>
      <c r="P385" t="s">
        <v>700</v>
      </c>
      <c r="Q385">
        <v>1</v>
      </c>
      <c r="X385">
        <v>1.77</v>
      </c>
      <c r="Y385">
        <v>0</v>
      </c>
      <c r="Z385">
        <v>221.38</v>
      </c>
      <c r="AA385">
        <v>9</v>
      </c>
      <c r="AB385">
        <v>0</v>
      </c>
      <c r="AC385">
        <v>0</v>
      </c>
      <c r="AD385">
        <v>1</v>
      </c>
      <c r="AE385">
        <v>0</v>
      </c>
      <c r="AF385" t="s">
        <v>3</v>
      </c>
      <c r="AG385">
        <v>1.77</v>
      </c>
      <c r="AH385">
        <v>2</v>
      </c>
      <c r="AI385">
        <v>94802408</v>
      </c>
      <c r="AJ385">
        <v>385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ROW(Source!A432)</f>
        <v>432</v>
      </c>
      <c r="B386">
        <v>94802409</v>
      </c>
      <c r="C386">
        <v>94802393</v>
      </c>
      <c r="D386">
        <v>37804410</v>
      </c>
      <c r="E386">
        <v>1</v>
      </c>
      <c r="F386">
        <v>1</v>
      </c>
      <c r="G386">
        <v>1</v>
      </c>
      <c r="H386">
        <v>2</v>
      </c>
      <c r="I386" t="s">
        <v>1045</v>
      </c>
      <c r="J386" t="s">
        <v>1046</v>
      </c>
      <c r="K386" t="s">
        <v>1047</v>
      </c>
      <c r="L386">
        <v>1368</v>
      </c>
      <c r="N386">
        <v>1011</v>
      </c>
      <c r="O386" t="s">
        <v>700</v>
      </c>
      <c r="P386" t="s">
        <v>700</v>
      </c>
      <c r="Q386">
        <v>1</v>
      </c>
      <c r="X386">
        <v>3.28</v>
      </c>
      <c r="Y386">
        <v>0</v>
      </c>
      <c r="Z386">
        <v>256.76</v>
      </c>
      <c r="AA386">
        <v>0</v>
      </c>
      <c r="AB386">
        <v>0</v>
      </c>
      <c r="AC386">
        <v>0</v>
      </c>
      <c r="AD386">
        <v>1</v>
      </c>
      <c r="AE386">
        <v>0</v>
      </c>
      <c r="AF386" t="s">
        <v>3</v>
      </c>
      <c r="AG386">
        <v>3.28</v>
      </c>
      <c r="AH386">
        <v>2</v>
      </c>
      <c r="AI386">
        <v>94802409</v>
      </c>
      <c r="AJ386">
        <v>386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ROW(Source!A432)</f>
        <v>432</v>
      </c>
      <c r="B387">
        <v>94802410</v>
      </c>
      <c r="C387">
        <v>94802393</v>
      </c>
      <c r="D387">
        <v>37804465</v>
      </c>
      <c r="E387">
        <v>1</v>
      </c>
      <c r="F387">
        <v>1</v>
      </c>
      <c r="G387">
        <v>1</v>
      </c>
      <c r="H387">
        <v>2</v>
      </c>
      <c r="I387" t="s">
        <v>1048</v>
      </c>
      <c r="J387" t="s">
        <v>1049</v>
      </c>
      <c r="K387" t="s">
        <v>1050</v>
      </c>
      <c r="L387">
        <v>1368</v>
      </c>
      <c r="N387">
        <v>1011</v>
      </c>
      <c r="O387" t="s">
        <v>700</v>
      </c>
      <c r="P387" t="s">
        <v>700</v>
      </c>
      <c r="Q387">
        <v>1</v>
      </c>
      <c r="X387">
        <v>4.0999999999999996</v>
      </c>
      <c r="Y387">
        <v>0</v>
      </c>
      <c r="Z387">
        <v>130.41999999999999</v>
      </c>
      <c r="AA387">
        <v>12.1</v>
      </c>
      <c r="AB387">
        <v>0</v>
      </c>
      <c r="AC387">
        <v>0</v>
      </c>
      <c r="AD387">
        <v>1</v>
      </c>
      <c r="AE387">
        <v>0</v>
      </c>
      <c r="AF387" t="s">
        <v>3</v>
      </c>
      <c r="AG387">
        <v>4.0999999999999996</v>
      </c>
      <c r="AH387">
        <v>2</v>
      </c>
      <c r="AI387">
        <v>94802410</v>
      </c>
      <c r="AJ387">
        <v>387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ROW(Source!A432)</f>
        <v>432</v>
      </c>
      <c r="B388">
        <v>94802411</v>
      </c>
      <c r="C388">
        <v>94802393</v>
      </c>
      <c r="D388">
        <v>37804485</v>
      </c>
      <c r="E388">
        <v>1</v>
      </c>
      <c r="F388">
        <v>1</v>
      </c>
      <c r="G388">
        <v>1</v>
      </c>
      <c r="H388">
        <v>2</v>
      </c>
      <c r="I388" t="s">
        <v>1051</v>
      </c>
      <c r="J388" t="s">
        <v>1052</v>
      </c>
      <c r="K388" t="s">
        <v>1053</v>
      </c>
      <c r="L388">
        <v>1368</v>
      </c>
      <c r="N388">
        <v>1011</v>
      </c>
      <c r="O388" t="s">
        <v>700</v>
      </c>
      <c r="P388" t="s">
        <v>700</v>
      </c>
      <c r="Q388">
        <v>1</v>
      </c>
      <c r="X388">
        <v>0.02</v>
      </c>
      <c r="Y388">
        <v>0</v>
      </c>
      <c r="Z388">
        <v>119.36</v>
      </c>
      <c r="AA388">
        <v>10.35</v>
      </c>
      <c r="AB388">
        <v>0</v>
      </c>
      <c r="AC388">
        <v>0</v>
      </c>
      <c r="AD388">
        <v>1</v>
      </c>
      <c r="AE388">
        <v>0</v>
      </c>
      <c r="AF388" t="s">
        <v>3</v>
      </c>
      <c r="AG388">
        <v>0.02</v>
      </c>
      <c r="AH388">
        <v>2</v>
      </c>
      <c r="AI388">
        <v>94802411</v>
      </c>
      <c r="AJ388">
        <v>388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ROW(Source!A432)</f>
        <v>432</v>
      </c>
      <c r="B389">
        <v>94802412</v>
      </c>
      <c r="C389">
        <v>94802393</v>
      </c>
      <c r="D389">
        <v>37735405</v>
      </c>
      <c r="E389">
        <v>1</v>
      </c>
      <c r="F389">
        <v>1</v>
      </c>
      <c r="G389">
        <v>1</v>
      </c>
      <c r="H389">
        <v>3</v>
      </c>
      <c r="I389" t="s">
        <v>1054</v>
      </c>
      <c r="J389" t="s">
        <v>1055</v>
      </c>
      <c r="K389" t="s">
        <v>1056</v>
      </c>
      <c r="L389">
        <v>1348</v>
      </c>
      <c r="N389">
        <v>1009</v>
      </c>
      <c r="O389" t="s">
        <v>170</v>
      </c>
      <c r="P389" t="s">
        <v>170</v>
      </c>
      <c r="Q389">
        <v>1000</v>
      </c>
      <c r="X389">
        <v>4.0000000000000002E-4</v>
      </c>
      <c r="Y389">
        <v>5989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3</v>
      </c>
      <c r="AG389">
        <v>4.0000000000000002E-4</v>
      </c>
      <c r="AH389">
        <v>2</v>
      </c>
      <c r="AI389">
        <v>94802412</v>
      </c>
      <c r="AJ389">
        <v>389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ROW(Source!A432)</f>
        <v>432</v>
      </c>
      <c r="B390">
        <v>94802413</v>
      </c>
      <c r="C390">
        <v>94802393</v>
      </c>
      <c r="D390">
        <v>37730358</v>
      </c>
      <c r="E390">
        <v>1</v>
      </c>
      <c r="F390">
        <v>1</v>
      </c>
      <c r="G390">
        <v>1</v>
      </c>
      <c r="H390">
        <v>3</v>
      </c>
      <c r="I390" t="s">
        <v>1057</v>
      </c>
      <c r="J390" t="s">
        <v>1058</v>
      </c>
      <c r="K390" t="s">
        <v>1059</v>
      </c>
      <c r="L390">
        <v>1348</v>
      </c>
      <c r="N390">
        <v>1009</v>
      </c>
      <c r="O390" t="s">
        <v>170</v>
      </c>
      <c r="P390" t="s">
        <v>170</v>
      </c>
      <c r="Q390">
        <v>1000</v>
      </c>
      <c r="X390">
        <v>2.0000000000000001E-4</v>
      </c>
      <c r="Y390">
        <v>45130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3</v>
      </c>
      <c r="AG390">
        <v>2.0000000000000001E-4</v>
      </c>
      <c r="AH390">
        <v>2</v>
      </c>
      <c r="AI390">
        <v>94802413</v>
      </c>
      <c r="AJ390">
        <v>390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ROW(Source!A432)</f>
        <v>432</v>
      </c>
      <c r="B391">
        <v>94802414</v>
      </c>
      <c r="C391">
        <v>94802393</v>
      </c>
      <c r="D391">
        <v>37730500</v>
      </c>
      <c r="E391">
        <v>1</v>
      </c>
      <c r="F391">
        <v>1</v>
      </c>
      <c r="G391">
        <v>1</v>
      </c>
      <c r="H391">
        <v>3</v>
      </c>
      <c r="I391" t="s">
        <v>1060</v>
      </c>
      <c r="J391" t="s">
        <v>1061</v>
      </c>
      <c r="K391" t="s">
        <v>1062</v>
      </c>
      <c r="L391">
        <v>1348</v>
      </c>
      <c r="N391">
        <v>1009</v>
      </c>
      <c r="O391" t="s">
        <v>170</v>
      </c>
      <c r="P391" t="s">
        <v>170</v>
      </c>
      <c r="Q391">
        <v>1000</v>
      </c>
      <c r="X391">
        <v>0.9</v>
      </c>
      <c r="Y391">
        <v>1654.64</v>
      </c>
      <c r="Z391">
        <v>0</v>
      </c>
      <c r="AA391">
        <v>0</v>
      </c>
      <c r="AB391">
        <v>0</v>
      </c>
      <c r="AC391">
        <v>0</v>
      </c>
      <c r="AD391">
        <v>1</v>
      </c>
      <c r="AE391">
        <v>0</v>
      </c>
      <c r="AF391" t="s">
        <v>3</v>
      </c>
      <c r="AG391">
        <v>0.9</v>
      </c>
      <c r="AH391">
        <v>2</v>
      </c>
      <c r="AI391">
        <v>94802414</v>
      </c>
      <c r="AJ391">
        <v>391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ROW(Source!A432)</f>
        <v>432</v>
      </c>
      <c r="B392">
        <v>94802415</v>
      </c>
      <c r="C392">
        <v>94802393</v>
      </c>
      <c r="D392">
        <v>37737513</v>
      </c>
      <c r="E392">
        <v>1</v>
      </c>
      <c r="F392">
        <v>1</v>
      </c>
      <c r="G392">
        <v>1</v>
      </c>
      <c r="H392">
        <v>3</v>
      </c>
      <c r="I392" t="s">
        <v>1063</v>
      </c>
      <c r="J392" t="s">
        <v>1064</v>
      </c>
      <c r="K392" t="s">
        <v>1065</v>
      </c>
      <c r="L392">
        <v>1354</v>
      </c>
      <c r="N392">
        <v>1010</v>
      </c>
      <c r="O392" t="s">
        <v>47</v>
      </c>
      <c r="P392" t="s">
        <v>47</v>
      </c>
      <c r="Q392">
        <v>1</v>
      </c>
      <c r="X392">
        <v>0.03</v>
      </c>
      <c r="Y392">
        <v>5.07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0</v>
      </c>
      <c r="AF392" t="s">
        <v>3</v>
      </c>
      <c r="AG392">
        <v>0.03</v>
      </c>
      <c r="AH392">
        <v>2</v>
      </c>
      <c r="AI392">
        <v>94802415</v>
      </c>
      <c r="AJ392">
        <v>392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ROW(Source!A432)</f>
        <v>432</v>
      </c>
      <c r="B393">
        <v>94802416</v>
      </c>
      <c r="C393">
        <v>94802393</v>
      </c>
      <c r="D393">
        <v>37736785</v>
      </c>
      <c r="E393">
        <v>1</v>
      </c>
      <c r="F393">
        <v>1</v>
      </c>
      <c r="G393">
        <v>1</v>
      </c>
      <c r="H393">
        <v>3</v>
      </c>
      <c r="I393" t="s">
        <v>1066</v>
      </c>
      <c r="J393" t="s">
        <v>1067</v>
      </c>
      <c r="K393" t="s">
        <v>353</v>
      </c>
      <c r="L393">
        <v>1348</v>
      </c>
      <c r="N393">
        <v>1009</v>
      </c>
      <c r="O393" t="s">
        <v>170</v>
      </c>
      <c r="P393" t="s">
        <v>170</v>
      </c>
      <c r="Q393">
        <v>1000</v>
      </c>
      <c r="X393">
        <v>2E-3</v>
      </c>
      <c r="Y393">
        <v>10068</v>
      </c>
      <c r="Z393">
        <v>0</v>
      </c>
      <c r="AA393">
        <v>0</v>
      </c>
      <c r="AB393">
        <v>0</v>
      </c>
      <c r="AC393">
        <v>0</v>
      </c>
      <c r="AD393">
        <v>1</v>
      </c>
      <c r="AE393">
        <v>0</v>
      </c>
      <c r="AF393" t="s">
        <v>3</v>
      </c>
      <c r="AG393">
        <v>2E-3</v>
      </c>
      <c r="AH393">
        <v>2</v>
      </c>
      <c r="AI393">
        <v>94802416</v>
      </c>
      <c r="AJ393">
        <v>393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ROW(Source!A432)</f>
        <v>432</v>
      </c>
      <c r="B394">
        <v>94802417</v>
      </c>
      <c r="C394">
        <v>94802393</v>
      </c>
      <c r="D394">
        <v>37729662</v>
      </c>
      <c r="E394">
        <v>1</v>
      </c>
      <c r="F394">
        <v>1</v>
      </c>
      <c r="G394">
        <v>1</v>
      </c>
      <c r="H394">
        <v>3</v>
      </c>
      <c r="I394" t="s">
        <v>812</v>
      </c>
      <c r="J394" t="s">
        <v>813</v>
      </c>
      <c r="K394" t="s">
        <v>814</v>
      </c>
      <c r="L394">
        <v>1346</v>
      </c>
      <c r="N394">
        <v>1009</v>
      </c>
      <c r="O394" t="s">
        <v>192</v>
      </c>
      <c r="P394" t="s">
        <v>192</v>
      </c>
      <c r="Q394">
        <v>1</v>
      </c>
      <c r="X394">
        <v>0.85</v>
      </c>
      <c r="Y394">
        <v>6.62</v>
      </c>
      <c r="Z394">
        <v>0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3</v>
      </c>
      <c r="AG394">
        <v>0.85</v>
      </c>
      <c r="AH394">
        <v>2</v>
      </c>
      <c r="AI394">
        <v>94802417</v>
      </c>
      <c r="AJ394">
        <v>394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ROW(Source!A432)</f>
        <v>432</v>
      </c>
      <c r="B395">
        <v>94802418</v>
      </c>
      <c r="C395">
        <v>94802393</v>
      </c>
      <c r="D395">
        <v>37753215</v>
      </c>
      <c r="E395">
        <v>1</v>
      </c>
      <c r="F395">
        <v>1</v>
      </c>
      <c r="G395">
        <v>1</v>
      </c>
      <c r="H395">
        <v>3</v>
      </c>
      <c r="I395" t="s">
        <v>1068</v>
      </c>
      <c r="J395" t="s">
        <v>1069</v>
      </c>
      <c r="K395" t="s">
        <v>1070</v>
      </c>
      <c r="L395">
        <v>1348</v>
      </c>
      <c r="N395">
        <v>1009</v>
      </c>
      <c r="O395" t="s">
        <v>170</v>
      </c>
      <c r="P395" t="s">
        <v>170</v>
      </c>
      <c r="Q395">
        <v>1000</v>
      </c>
      <c r="X395">
        <v>4.0000000000000002E-4</v>
      </c>
      <c r="Y395">
        <v>5565.03</v>
      </c>
      <c r="Z395">
        <v>0</v>
      </c>
      <c r="AA395">
        <v>0</v>
      </c>
      <c r="AB395">
        <v>0</v>
      </c>
      <c r="AC395">
        <v>0</v>
      </c>
      <c r="AD395">
        <v>1</v>
      </c>
      <c r="AE395">
        <v>0</v>
      </c>
      <c r="AF395" t="s">
        <v>3</v>
      </c>
      <c r="AG395">
        <v>4.0000000000000002E-4</v>
      </c>
      <c r="AH395">
        <v>2</v>
      </c>
      <c r="AI395">
        <v>94802418</v>
      </c>
      <c r="AJ395">
        <v>395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ROW(Source!A432)</f>
        <v>432</v>
      </c>
      <c r="B396">
        <v>94802419</v>
      </c>
      <c r="C396">
        <v>94802393</v>
      </c>
      <c r="D396">
        <v>37777802</v>
      </c>
      <c r="E396">
        <v>1</v>
      </c>
      <c r="F396">
        <v>1</v>
      </c>
      <c r="G396">
        <v>1</v>
      </c>
      <c r="H396">
        <v>3</v>
      </c>
      <c r="I396" t="s">
        <v>883</v>
      </c>
      <c r="J396" t="s">
        <v>884</v>
      </c>
      <c r="K396" t="s">
        <v>885</v>
      </c>
      <c r="L396">
        <v>1339</v>
      </c>
      <c r="N396">
        <v>1007</v>
      </c>
      <c r="O396" t="s">
        <v>52</v>
      </c>
      <c r="P396" t="s">
        <v>52</v>
      </c>
      <c r="Q396">
        <v>1</v>
      </c>
      <c r="X396">
        <v>20</v>
      </c>
      <c r="Y396">
        <v>2.4700000000000002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0</v>
      </c>
      <c r="AF396" t="s">
        <v>3</v>
      </c>
      <c r="AG396">
        <v>20</v>
      </c>
      <c r="AH396">
        <v>2</v>
      </c>
      <c r="AI396">
        <v>94802419</v>
      </c>
      <c r="AJ396">
        <v>396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ROW(Source!A434)</f>
        <v>434</v>
      </c>
      <c r="B397">
        <v>94802447</v>
      </c>
      <c r="C397">
        <v>94802420</v>
      </c>
      <c r="D397">
        <v>23134555</v>
      </c>
      <c r="E397">
        <v>1</v>
      </c>
      <c r="F397">
        <v>1</v>
      </c>
      <c r="G397">
        <v>1</v>
      </c>
      <c r="H397">
        <v>1</v>
      </c>
      <c r="I397" t="s">
        <v>1016</v>
      </c>
      <c r="J397" t="s">
        <v>3</v>
      </c>
      <c r="K397" t="s">
        <v>1017</v>
      </c>
      <c r="L397">
        <v>1369</v>
      </c>
      <c r="N397">
        <v>1013</v>
      </c>
      <c r="O397" t="s">
        <v>696</v>
      </c>
      <c r="P397" t="s">
        <v>696</v>
      </c>
      <c r="Q397">
        <v>1</v>
      </c>
      <c r="X397">
        <v>1.43</v>
      </c>
      <c r="Y397">
        <v>0</v>
      </c>
      <c r="Z397">
        <v>0</v>
      </c>
      <c r="AA397">
        <v>0</v>
      </c>
      <c r="AB397">
        <v>8.3800000000000008</v>
      </c>
      <c r="AC397">
        <v>0</v>
      </c>
      <c r="AD397">
        <v>1</v>
      </c>
      <c r="AE397">
        <v>1</v>
      </c>
      <c r="AF397" t="s">
        <v>3</v>
      </c>
      <c r="AG397">
        <v>1.43</v>
      </c>
      <c r="AH397">
        <v>2</v>
      </c>
      <c r="AI397">
        <v>94802447</v>
      </c>
      <c r="AJ397">
        <v>397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ROW(Source!A434)</f>
        <v>434</v>
      </c>
      <c r="B398">
        <v>94802448</v>
      </c>
      <c r="C398">
        <v>94802420</v>
      </c>
      <c r="D398">
        <v>121548</v>
      </c>
      <c r="E398">
        <v>1</v>
      </c>
      <c r="F398">
        <v>1</v>
      </c>
      <c r="G398">
        <v>1</v>
      </c>
      <c r="H398">
        <v>1</v>
      </c>
      <c r="I398" t="s">
        <v>28</v>
      </c>
      <c r="J398" t="s">
        <v>3</v>
      </c>
      <c r="K398" t="s">
        <v>705</v>
      </c>
      <c r="L398">
        <v>608254</v>
      </c>
      <c r="N398">
        <v>1013</v>
      </c>
      <c r="O398" t="s">
        <v>706</v>
      </c>
      <c r="P398" t="s">
        <v>706</v>
      </c>
      <c r="Q398">
        <v>1</v>
      </c>
      <c r="X398">
        <v>1.53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1</v>
      </c>
      <c r="AE398">
        <v>2</v>
      </c>
      <c r="AF398" t="s">
        <v>3</v>
      </c>
      <c r="AG398">
        <v>1.53</v>
      </c>
      <c r="AH398">
        <v>2</v>
      </c>
      <c r="AI398">
        <v>94802448</v>
      </c>
      <c r="AJ398">
        <v>398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 x14ac:dyDescent="0.2">
      <c r="A399">
        <f>ROW(Source!A434)</f>
        <v>434</v>
      </c>
      <c r="B399">
        <v>94802449</v>
      </c>
      <c r="C399">
        <v>94802420</v>
      </c>
      <c r="D399">
        <v>37802515</v>
      </c>
      <c r="E399">
        <v>1</v>
      </c>
      <c r="F399">
        <v>1</v>
      </c>
      <c r="G399">
        <v>1</v>
      </c>
      <c r="H399">
        <v>2</v>
      </c>
      <c r="I399" t="s">
        <v>774</v>
      </c>
      <c r="J399" t="s">
        <v>775</v>
      </c>
      <c r="K399" t="s">
        <v>776</v>
      </c>
      <c r="L399">
        <v>1368</v>
      </c>
      <c r="N399">
        <v>1011</v>
      </c>
      <c r="O399" t="s">
        <v>700</v>
      </c>
      <c r="P399" t="s">
        <v>700</v>
      </c>
      <c r="Q399">
        <v>1</v>
      </c>
      <c r="X399">
        <v>0.25</v>
      </c>
      <c r="Y399">
        <v>0</v>
      </c>
      <c r="Z399">
        <v>87.24</v>
      </c>
      <c r="AA399">
        <v>9</v>
      </c>
      <c r="AB399">
        <v>0</v>
      </c>
      <c r="AC399">
        <v>0</v>
      </c>
      <c r="AD399">
        <v>1</v>
      </c>
      <c r="AE399">
        <v>0</v>
      </c>
      <c r="AF399" t="s">
        <v>3</v>
      </c>
      <c r="AG399">
        <v>0.25</v>
      </c>
      <c r="AH399">
        <v>2</v>
      </c>
      <c r="AI399">
        <v>94802449</v>
      </c>
      <c r="AJ399">
        <v>399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 x14ac:dyDescent="0.2">
      <c r="A400">
        <f>ROW(Source!A434)</f>
        <v>434</v>
      </c>
      <c r="B400">
        <v>94802450</v>
      </c>
      <c r="C400">
        <v>94802420</v>
      </c>
      <c r="D400">
        <v>37803048</v>
      </c>
      <c r="E400">
        <v>1</v>
      </c>
      <c r="F400">
        <v>1</v>
      </c>
      <c r="G400">
        <v>1</v>
      </c>
      <c r="H400">
        <v>2</v>
      </c>
      <c r="I400" t="s">
        <v>1021</v>
      </c>
      <c r="J400" t="s">
        <v>1022</v>
      </c>
      <c r="K400" t="s">
        <v>1023</v>
      </c>
      <c r="L400">
        <v>1368</v>
      </c>
      <c r="N400">
        <v>1011</v>
      </c>
      <c r="O400" t="s">
        <v>700</v>
      </c>
      <c r="P400" t="s">
        <v>700</v>
      </c>
      <c r="Q400">
        <v>1</v>
      </c>
      <c r="X400">
        <v>0.28999999999999998</v>
      </c>
      <c r="Y400">
        <v>0</v>
      </c>
      <c r="Z400">
        <v>214.98</v>
      </c>
      <c r="AA400">
        <v>12.1</v>
      </c>
      <c r="AB400">
        <v>0</v>
      </c>
      <c r="AC400">
        <v>0</v>
      </c>
      <c r="AD400">
        <v>1</v>
      </c>
      <c r="AE400">
        <v>0</v>
      </c>
      <c r="AF400" t="s">
        <v>3</v>
      </c>
      <c r="AG400">
        <v>0.28999999999999998</v>
      </c>
      <c r="AH400">
        <v>2</v>
      </c>
      <c r="AI400">
        <v>94802450</v>
      </c>
      <c r="AJ400">
        <v>400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 x14ac:dyDescent="0.2">
      <c r="A401">
        <f>ROW(Source!A434)</f>
        <v>434</v>
      </c>
      <c r="B401">
        <v>94802451</v>
      </c>
      <c r="C401">
        <v>94802420</v>
      </c>
      <c r="D401">
        <v>37803071</v>
      </c>
      <c r="E401">
        <v>1</v>
      </c>
      <c r="F401">
        <v>1</v>
      </c>
      <c r="G401">
        <v>1</v>
      </c>
      <c r="H401">
        <v>2</v>
      </c>
      <c r="I401" t="s">
        <v>1024</v>
      </c>
      <c r="J401" t="s">
        <v>1025</v>
      </c>
      <c r="K401" t="s">
        <v>1026</v>
      </c>
      <c r="L401">
        <v>1368</v>
      </c>
      <c r="N401">
        <v>1011</v>
      </c>
      <c r="O401" t="s">
        <v>700</v>
      </c>
      <c r="P401" t="s">
        <v>700</v>
      </c>
      <c r="Q401">
        <v>1</v>
      </c>
      <c r="X401">
        <v>0.46</v>
      </c>
      <c r="Y401">
        <v>0</v>
      </c>
      <c r="Z401">
        <v>467.83</v>
      </c>
      <c r="AA401">
        <v>12.9</v>
      </c>
      <c r="AB401">
        <v>0</v>
      </c>
      <c r="AC401">
        <v>0</v>
      </c>
      <c r="AD401">
        <v>1</v>
      </c>
      <c r="AE401">
        <v>0</v>
      </c>
      <c r="AF401" t="s">
        <v>3</v>
      </c>
      <c r="AG401">
        <v>0.46</v>
      </c>
      <c r="AH401">
        <v>2</v>
      </c>
      <c r="AI401">
        <v>94802451</v>
      </c>
      <c r="AJ401">
        <v>401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 x14ac:dyDescent="0.2">
      <c r="A402">
        <f>ROW(Source!A434)</f>
        <v>434</v>
      </c>
      <c r="B402">
        <v>94802452</v>
      </c>
      <c r="C402">
        <v>94802420</v>
      </c>
      <c r="D402">
        <v>37804095</v>
      </c>
      <c r="E402">
        <v>1</v>
      </c>
      <c r="F402">
        <v>1</v>
      </c>
      <c r="G402">
        <v>1</v>
      </c>
      <c r="H402">
        <v>2</v>
      </c>
      <c r="I402" t="s">
        <v>766</v>
      </c>
      <c r="J402" t="s">
        <v>767</v>
      </c>
      <c r="K402" t="s">
        <v>768</v>
      </c>
      <c r="L402">
        <v>1368</v>
      </c>
      <c r="N402">
        <v>1011</v>
      </c>
      <c r="O402" t="s">
        <v>700</v>
      </c>
      <c r="P402" t="s">
        <v>700</v>
      </c>
      <c r="Q402">
        <v>1</v>
      </c>
      <c r="X402">
        <v>0.11</v>
      </c>
      <c r="Y402">
        <v>0</v>
      </c>
      <c r="Z402">
        <v>1.69</v>
      </c>
      <c r="AA402">
        <v>0</v>
      </c>
      <c r="AB402">
        <v>0</v>
      </c>
      <c r="AC402">
        <v>0</v>
      </c>
      <c r="AD402">
        <v>1</v>
      </c>
      <c r="AE402">
        <v>0</v>
      </c>
      <c r="AF402" t="s">
        <v>3</v>
      </c>
      <c r="AG402">
        <v>0.11</v>
      </c>
      <c r="AH402">
        <v>2</v>
      </c>
      <c r="AI402">
        <v>94802452</v>
      </c>
      <c r="AJ402">
        <v>402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 x14ac:dyDescent="0.2">
      <c r="A403">
        <f>ROW(Source!A434)</f>
        <v>434</v>
      </c>
      <c r="B403">
        <v>94802453</v>
      </c>
      <c r="C403">
        <v>94802420</v>
      </c>
      <c r="D403">
        <v>37804342</v>
      </c>
      <c r="E403">
        <v>1</v>
      </c>
      <c r="F403">
        <v>1</v>
      </c>
      <c r="G403">
        <v>1</v>
      </c>
      <c r="H403">
        <v>2</v>
      </c>
      <c r="I403" t="s">
        <v>1033</v>
      </c>
      <c r="J403" t="s">
        <v>1034</v>
      </c>
      <c r="K403" t="s">
        <v>1035</v>
      </c>
      <c r="L403">
        <v>1368</v>
      </c>
      <c r="N403">
        <v>1011</v>
      </c>
      <c r="O403" t="s">
        <v>700</v>
      </c>
      <c r="P403" t="s">
        <v>700</v>
      </c>
      <c r="Q403">
        <v>1</v>
      </c>
      <c r="X403">
        <v>0.19</v>
      </c>
      <c r="Y403">
        <v>0</v>
      </c>
      <c r="Z403">
        <v>777.55</v>
      </c>
      <c r="AA403">
        <v>14.72</v>
      </c>
      <c r="AB403">
        <v>0</v>
      </c>
      <c r="AC403">
        <v>0</v>
      </c>
      <c r="AD403">
        <v>1</v>
      </c>
      <c r="AE403">
        <v>0</v>
      </c>
      <c r="AF403" t="s">
        <v>3</v>
      </c>
      <c r="AG403">
        <v>0.19</v>
      </c>
      <c r="AH403">
        <v>2</v>
      </c>
      <c r="AI403">
        <v>94802453</v>
      </c>
      <c r="AJ403">
        <v>403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 x14ac:dyDescent="0.2">
      <c r="A404">
        <f>ROW(Source!A434)</f>
        <v>434</v>
      </c>
      <c r="B404">
        <v>94802454</v>
      </c>
      <c r="C404">
        <v>94802420</v>
      </c>
      <c r="D404">
        <v>37804346</v>
      </c>
      <c r="E404">
        <v>1</v>
      </c>
      <c r="F404">
        <v>1</v>
      </c>
      <c r="G404">
        <v>1</v>
      </c>
      <c r="H404">
        <v>2</v>
      </c>
      <c r="I404" t="s">
        <v>1039</v>
      </c>
      <c r="J404" t="s">
        <v>1040</v>
      </c>
      <c r="K404" t="s">
        <v>1041</v>
      </c>
      <c r="L404">
        <v>1368</v>
      </c>
      <c r="N404">
        <v>1011</v>
      </c>
      <c r="O404" t="s">
        <v>700</v>
      </c>
      <c r="P404" t="s">
        <v>700</v>
      </c>
      <c r="Q404">
        <v>1</v>
      </c>
      <c r="X404">
        <v>0.23</v>
      </c>
      <c r="Y404">
        <v>0</v>
      </c>
      <c r="Z404">
        <v>526.5</v>
      </c>
      <c r="AA404">
        <v>12.1</v>
      </c>
      <c r="AB404">
        <v>0</v>
      </c>
      <c r="AC404">
        <v>0</v>
      </c>
      <c r="AD404">
        <v>1</v>
      </c>
      <c r="AE404">
        <v>0</v>
      </c>
      <c r="AF404" t="s">
        <v>3</v>
      </c>
      <c r="AG404">
        <v>0.23</v>
      </c>
      <c r="AH404">
        <v>2</v>
      </c>
      <c r="AI404">
        <v>94802454</v>
      </c>
      <c r="AJ404">
        <v>404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 x14ac:dyDescent="0.2">
      <c r="A405">
        <f>ROW(Source!A434)</f>
        <v>434</v>
      </c>
      <c r="B405">
        <v>94802455</v>
      </c>
      <c r="C405">
        <v>94802420</v>
      </c>
      <c r="D405">
        <v>37804368</v>
      </c>
      <c r="E405">
        <v>1</v>
      </c>
      <c r="F405">
        <v>1</v>
      </c>
      <c r="G405">
        <v>1</v>
      </c>
      <c r="H405">
        <v>2</v>
      </c>
      <c r="I405" t="s">
        <v>1042</v>
      </c>
      <c r="J405" t="s">
        <v>1043</v>
      </c>
      <c r="K405" t="s">
        <v>1044</v>
      </c>
      <c r="L405">
        <v>1368</v>
      </c>
      <c r="N405">
        <v>1011</v>
      </c>
      <c r="O405" t="s">
        <v>700</v>
      </c>
      <c r="P405" t="s">
        <v>700</v>
      </c>
      <c r="Q405">
        <v>1</v>
      </c>
      <c r="X405">
        <v>0.11</v>
      </c>
      <c r="Y405">
        <v>0</v>
      </c>
      <c r="Z405">
        <v>221.38</v>
      </c>
      <c r="AA405">
        <v>9</v>
      </c>
      <c r="AB405">
        <v>0</v>
      </c>
      <c r="AC405">
        <v>0</v>
      </c>
      <c r="AD405">
        <v>1</v>
      </c>
      <c r="AE405">
        <v>0</v>
      </c>
      <c r="AF405" t="s">
        <v>3</v>
      </c>
      <c r="AG405">
        <v>0.11</v>
      </c>
      <c r="AH405">
        <v>2</v>
      </c>
      <c r="AI405">
        <v>94802455</v>
      </c>
      <c r="AJ405">
        <v>405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 x14ac:dyDescent="0.2">
      <c r="A406">
        <f>ROW(Source!A434)</f>
        <v>434</v>
      </c>
      <c r="B406">
        <v>94802456</v>
      </c>
      <c r="C406">
        <v>94802420</v>
      </c>
      <c r="D406">
        <v>37804410</v>
      </c>
      <c r="E406">
        <v>1</v>
      </c>
      <c r="F406">
        <v>1</v>
      </c>
      <c r="G406">
        <v>1</v>
      </c>
      <c r="H406">
        <v>2</v>
      </c>
      <c r="I406" t="s">
        <v>1045</v>
      </c>
      <c r="J406" t="s">
        <v>1046</v>
      </c>
      <c r="K406" t="s">
        <v>1047</v>
      </c>
      <c r="L406">
        <v>1368</v>
      </c>
      <c r="N406">
        <v>1011</v>
      </c>
      <c r="O406" t="s">
        <v>700</v>
      </c>
      <c r="P406" t="s">
        <v>700</v>
      </c>
      <c r="Q406">
        <v>1</v>
      </c>
      <c r="X406">
        <v>0.36</v>
      </c>
      <c r="Y406">
        <v>0</v>
      </c>
      <c r="Z406">
        <v>256.76</v>
      </c>
      <c r="AA406">
        <v>0</v>
      </c>
      <c r="AB406">
        <v>0</v>
      </c>
      <c r="AC406">
        <v>0</v>
      </c>
      <c r="AD406">
        <v>1</v>
      </c>
      <c r="AE406">
        <v>0</v>
      </c>
      <c r="AF406" t="s">
        <v>3</v>
      </c>
      <c r="AG406">
        <v>0.36</v>
      </c>
      <c r="AH406">
        <v>2</v>
      </c>
      <c r="AI406">
        <v>94802456</v>
      </c>
      <c r="AJ406">
        <v>406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 x14ac:dyDescent="0.2">
      <c r="A407">
        <f>ROW(Source!A434)</f>
        <v>434</v>
      </c>
      <c r="B407">
        <v>94802457</v>
      </c>
      <c r="C407">
        <v>94802420</v>
      </c>
      <c r="D407">
        <v>37804465</v>
      </c>
      <c r="E407">
        <v>1</v>
      </c>
      <c r="F407">
        <v>1</v>
      </c>
      <c r="G407">
        <v>1</v>
      </c>
      <c r="H407">
        <v>2</v>
      </c>
      <c r="I407" t="s">
        <v>1048</v>
      </c>
      <c r="J407" t="s">
        <v>1049</v>
      </c>
      <c r="K407" t="s">
        <v>1050</v>
      </c>
      <c r="L407">
        <v>1368</v>
      </c>
      <c r="N407">
        <v>1011</v>
      </c>
      <c r="O407" t="s">
        <v>700</v>
      </c>
      <c r="P407" t="s">
        <v>700</v>
      </c>
      <c r="Q407">
        <v>1</v>
      </c>
      <c r="X407">
        <v>0.19</v>
      </c>
      <c r="Y407">
        <v>0</v>
      </c>
      <c r="Z407">
        <v>130.41999999999999</v>
      </c>
      <c r="AA407">
        <v>12.1</v>
      </c>
      <c r="AB407">
        <v>0</v>
      </c>
      <c r="AC407">
        <v>0</v>
      </c>
      <c r="AD407">
        <v>1</v>
      </c>
      <c r="AE407">
        <v>0</v>
      </c>
      <c r="AF407" t="s">
        <v>3</v>
      </c>
      <c r="AG407">
        <v>0.19</v>
      </c>
      <c r="AH407">
        <v>2</v>
      </c>
      <c r="AI407">
        <v>94802457</v>
      </c>
      <c r="AJ407">
        <v>407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 x14ac:dyDescent="0.2">
      <c r="A408">
        <f>ROW(Source!A435)</f>
        <v>435</v>
      </c>
      <c r="B408">
        <v>94802369</v>
      </c>
      <c r="C408">
        <v>94802368</v>
      </c>
      <c r="D408">
        <v>23134955</v>
      </c>
      <c r="E408">
        <v>1</v>
      </c>
      <c r="F408">
        <v>1</v>
      </c>
      <c r="G408">
        <v>1</v>
      </c>
      <c r="H408">
        <v>1</v>
      </c>
      <c r="I408" t="s">
        <v>772</v>
      </c>
      <c r="J408" t="s">
        <v>3</v>
      </c>
      <c r="K408" t="s">
        <v>773</v>
      </c>
      <c r="L408">
        <v>1369</v>
      </c>
      <c r="N408">
        <v>1013</v>
      </c>
      <c r="O408" t="s">
        <v>696</v>
      </c>
      <c r="P408" t="s">
        <v>696</v>
      </c>
      <c r="Q408">
        <v>1</v>
      </c>
      <c r="X408">
        <v>20.86</v>
      </c>
      <c r="Y408">
        <v>0</v>
      </c>
      <c r="Z408">
        <v>0</v>
      </c>
      <c r="AA408">
        <v>0</v>
      </c>
      <c r="AB408">
        <v>8.17</v>
      </c>
      <c r="AC408">
        <v>0</v>
      </c>
      <c r="AD408">
        <v>1</v>
      </c>
      <c r="AE408">
        <v>1</v>
      </c>
      <c r="AF408" t="s">
        <v>3</v>
      </c>
      <c r="AG408">
        <v>20.86</v>
      </c>
      <c r="AH408">
        <v>2</v>
      </c>
      <c r="AI408">
        <v>94802369</v>
      </c>
      <c r="AJ408">
        <v>408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 x14ac:dyDescent="0.2">
      <c r="A409">
        <f>ROW(Source!A435)</f>
        <v>435</v>
      </c>
      <c r="B409">
        <v>94802370</v>
      </c>
      <c r="C409">
        <v>94802368</v>
      </c>
      <c r="D409">
        <v>121548</v>
      </c>
      <c r="E409">
        <v>1</v>
      </c>
      <c r="F409">
        <v>1</v>
      </c>
      <c r="G409">
        <v>1</v>
      </c>
      <c r="H409">
        <v>1</v>
      </c>
      <c r="I409" t="s">
        <v>28</v>
      </c>
      <c r="J409" t="s">
        <v>3</v>
      </c>
      <c r="K409" t="s">
        <v>705</v>
      </c>
      <c r="L409">
        <v>608254</v>
      </c>
      <c r="N409">
        <v>1013</v>
      </c>
      <c r="O409" t="s">
        <v>706</v>
      </c>
      <c r="P409" t="s">
        <v>706</v>
      </c>
      <c r="Q409">
        <v>1</v>
      </c>
      <c r="X409">
        <v>18.649999999999999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1</v>
      </c>
      <c r="AE409">
        <v>2</v>
      </c>
      <c r="AF409" t="s">
        <v>3</v>
      </c>
      <c r="AG409">
        <v>18.649999999999999</v>
      </c>
      <c r="AH409">
        <v>2</v>
      </c>
      <c r="AI409">
        <v>94802370</v>
      </c>
      <c r="AJ409">
        <v>409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 x14ac:dyDescent="0.2">
      <c r="A410">
        <f>ROW(Source!A435)</f>
        <v>435</v>
      </c>
      <c r="B410">
        <v>94802371</v>
      </c>
      <c r="C410">
        <v>94802368</v>
      </c>
      <c r="D410">
        <v>37802515</v>
      </c>
      <c r="E410">
        <v>1</v>
      </c>
      <c r="F410">
        <v>1</v>
      </c>
      <c r="G410">
        <v>1</v>
      </c>
      <c r="H410">
        <v>2</v>
      </c>
      <c r="I410" t="s">
        <v>774</v>
      </c>
      <c r="J410" t="s">
        <v>775</v>
      </c>
      <c r="K410" t="s">
        <v>776</v>
      </c>
      <c r="L410">
        <v>1368</v>
      </c>
      <c r="N410">
        <v>1011</v>
      </c>
      <c r="O410" t="s">
        <v>700</v>
      </c>
      <c r="P410" t="s">
        <v>700</v>
      </c>
      <c r="Q410">
        <v>1</v>
      </c>
      <c r="X410">
        <v>0.55000000000000004</v>
      </c>
      <c r="Y410">
        <v>0</v>
      </c>
      <c r="Z410">
        <v>87.24</v>
      </c>
      <c r="AA410">
        <v>9</v>
      </c>
      <c r="AB410">
        <v>0</v>
      </c>
      <c r="AC410">
        <v>0</v>
      </c>
      <c r="AD410">
        <v>1</v>
      </c>
      <c r="AE410">
        <v>0</v>
      </c>
      <c r="AF410" t="s">
        <v>3</v>
      </c>
      <c r="AG410">
        <v>0.55000000000000004</v>
      </c>
      <c r="AH410">
        <v>2</v>
      </c>
      <c r="AI410">
        <v>94802371</v>
      </c>
      <c r="AJ410">
        <v>410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 x14ac:dyDescent="0.2">
      <c r="A411">
        <f>ROW(Source!A435)</f>
        <v>435</v>
      </c>
      <c r="B411">
        <v>94802372</v>
      </c>
      <c r="C411">
        <v>94802368</v>
      </c>
      <c r="D411">
        <v>37802535</v>
      </c>
      <c r="E411">
        <v>1</v>
      </c>
      <c r="F411">
        <v>1</v>
      </c>
      <c r="G411">
        <v>1</v>
      </c>
      <c r="H411">
        <v>2</v>
      </c>
      <c r="I411" t="s">
        <v>1018</v>
      </c>
      <c r="J411" t="s">
        <v>1019</v>
      </c>
      <c r="K411" t="s">
        <v>1020</v>
      </c>
      <c r="L411">
        <v>1368</v>
      </c>
      <c r="N411">
        <v>1011</v>
      </c>
      <c r="O411" t="s">
        <v>700</v>
      </c>
      <c r="P411" t="s">
        <v>700</v>
      </c>
      <c r="Q411">
        <v>1</v>
      </c>
      <c r="X411">
        <v>2.44</v>
      </c>
      <c r="Y411">
        <v>0</v>
      </c>
      <c r="Z411">
        <v>0.88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3</v>
      </c>
      <c r="AG411">
        <v>2.44</v>
      </c>
      <c r="AH411">
        <v>2</v>
      </c>
      <c r="AI411">
        <v>94802372</v>
      </c>
      <c r="AJ411">
        <v>411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 x14ac:dyDescent="0.2">
      <c r="A412">
        <f>ROW(Source!A435)</f>
        <v>435</v>
      </c>
      <c r="B412">
        <v>94802373</v>
      </c>
      <c r="C412">
        <v>94802368</v>
      </c>
      <c r="D412">
        <v>37803048</v>
      </c>
      <c r="E412">
        <v>1</v>
      </c>
      <c r="F412">
        <v>1</v>
      </c>
      <c r="G412">
        <v>1</v>
      </c>
      <c r="H412">
        <v>2</v>
      </c>
      <c r="I412" t="s">
        <v>1021</v>
      </c>
      <c r="J412" t="s">
        <v>1022</v>
      </c>
      <c r="K412" t="s">
        <v>1023</v>
      </c>
      <c r="L412">
        <v>1368</v>
      </c>
      <c r="N412">
        <v>1011</v>
      </c>
      <c r="O412" t="s">
        <v>700</v>
      </c>
      <c r="P412" t="s">
        <v>700</v>
      </c>
      <c r="Q412">
        <v>1</v>
      </c>
      <c r="X412">
        <v>0.97</v>
      </c>
      <c r="Y412">
        <v>0</v>
      </c>
      <c r="Z412">
        <v>214.98</v>
      </c>
      <c r="AA412">
        <v>12.1</v>
      </c>
      <c r="AB412">
        <v>0</v>
      </c>
      <c r="AC412">
        <v>0</v>
      </c>
      <c r="AD412">
        <v>1</v>
      </c>
      <c r="AE412">
        <v>0</v>
      </c>
      <c r="AF412" t="s">
        <v>3</v>
      </c>
      <c r="AG412">
        <v>0.97</v>
      </c>
      <c r="AH412">
        <v>2</v>
      </c>
      <c r="AI412">
        <v>94802373</v>
      </c>
      <c r="AJ412">
        <v>412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 x14ac:dyDescent="0.2">
      <c r="A413">
        <f>ROW(Source!A435)</f>
        <v>435</v>
      </c>
      <c r="B413">
        <v>94802374</v>
      </c>
      <c r="C413">
        <v>94802368</v>
      </c>
      <c r="D413">
        <v>37803104</v>
      </c>
      <c r="E413">
        <v>1</v>
      </c>
      <c r="F413">
        <v>1</v>
      </c>
      <c r="G413">
        <v>1</v>
      </c>
      <c r="H413">
        <v>2</v>
      </c>
      <c r="I413" t="s">
        <v>1071</v>
      </c>
      <c r="J413" t="s">
        <v>1072</v>
      </c>
      <c r="K413" t="s">
        <v>1073</v>
      </c>
      <c r="L413">
        <v>1368</v>
      </c>
      <c r="N413">
        <v>1011</v>
      </c>
      <c r="O413" t="s">
        <v>700</v>
      </c>
      <c r="P413" t="s">
        <v>700</v>
      </c>
      <c r="Q413">
        <v>1</v>
      </c>
      <c r="X413">
        <v>2.04</v>
      </c>
      <c r="Y413">
        <v>0</v>
      </c>
      <c r="Z413">
        <v>1829.24</v>
      </c>
      <c r="AA413">
        <v>12.9</v>
      </c>
      <c r="AB413">
        <v>0</v>
      </c>
      <c r="AC413">
        <v>0</v>
      </c>
      <c r="AD413">
        <v>1</v>
      </c>
      <c r="AE413">
        <v>0</v>
      </c>
      <c r="AF413" t="s">
        <v>3</v>
      </c>
      <c r="AG413">
        <v>2.04</v>
      </c>
      <c r="AH413">
        <v>2</v>
      </c>
      <c r="AI413">
        <v>94802374</v>
      </c>
      <c r="AJ413">
        <v>413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 x14ac:dyDescent="0.2">
      <c r="A414">
        <f>ROW(Source!A435)</f>
        <v>435</v>
      </c>
      <c r="B414">
        <v>94802375</v>
      </c>
      <c r="C414">
        <v>94802368</v>
      </c>
      <c r="D414">
        <v>37803111</v>
      </c>
      <c r="E414">
        <v>1</v>
      </c>
      <c r="F414">
        <v>1</v>
      </c>
      <c r="G414">
        <v>1</v>
      </c>
      <c r="H414">
        <v>2</v>
      </c>
      <c r="I414" t="s">
        <v>880</v>
      </c>
      <c r="J414" t="s">
        <v>881</v>
      </c>
      <c r="K414" t="s">
        <v>882</v>
      </c>
      <c r="L414">
        <v>1368</v>
      </c>
      <c r="N414">
        <v>1011</v>
      </c>
      <c r="O414" t="s">
        <v>700</v>
      </c>
      <c r="P414" t="s">
        <v>700</v>
      </c>
      <c r="Q414">
        <v>1</v>
      </c>
      <c r="X414">
        <v>3.1</v>
      </c>
      <c r="Y414">
        <v>0</v>
      </c>
      <c r="Z414">
        <v>119.25</v>
      </c>
      <c r="AA414">
        <v>10.35</v>
      </c>
      <c r="AB414">
        <v>0</v>
      </c>
      <c r="AC414">
        <v>0</v>
      </c>
      <c r="AD414">
        <v>1</v>
      </c>
      <c r="AE414">
        <v>0</v>
      </c>
      <c r="AF414" t="s">
        <v>3</v>
      </c>
      <c r="AG414">
        <v>3.1</v>
      </c>
      <c r="AH414">
        <v>2</v>
      </c>
      <c r="AI414">
        <v>94802375</v>
      </c>
      <c r="AJ414">
        <v>414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 x14ac:dyDescent="0.2">
      <c r="A415">
        <f>ROW(Source!A435)</f>
        <v>435</v>
      </c>
      <c r="B415">
        <v>94802376</v>
      </c>
      <c r="C415">
        <v>94802368</v>
      </c>
      <c r="D415">
        <v>37804095</v>
      </c>
      <c r="E415">
        <v>1</v>
      </c>
      <c r="F415">
        <v>1</v>
      </c>
      <c r="G415">
        <v>1</v>
      </c>
      <c r="H415">
        <v>2</v>
      </c>
      <c r="I415" t="s">
        <v>766</v>
      </c>
      <c r="J415" t="s">
        <v>767</v>
      </c>
      <c r="K415" t="s">
        <v>768</v>
      </c>
      <c r="L415">
        <v>1368</v>
      </c>
      <c r="N415">
        <v>1011</v>
      </c>
      <c r="O415" t="s">
        <v>700</v>
      </c>
      <c r="P415" t="s">
        <v>700</v>
      </c>
      <c r="Q415">
        <v>1</v>
      </c>
      <c r="X415">
        <v>1.1499999999999999</v>
      </c>
      <c r="Y415">
        <v>0</v>
      </c>
      <c r="Z415">
        <v>1.69</v>
      </c>
      <c r="AA415">
        <v>0</v>
      </c>
      <c r="AB415">
        <v>0</v>
      </c>
      <c r="AC415">
        <v>0</v>
      </c>
      <c r="AD415">
        <v>1</v>
      </c>
      <c r="AE415">
        <v>0</v>
      </c>
      <c r="AF415" t="s">
        <v>3</v>
      </c>
      <c r="AG415">
        <v>1.1499999999999999</v>
      </c>
      <c r="AH415">
        <v>2</v>
      </c>
      <c r="AI415">
        <v>94802376</v>
      </c>
      <c r="AJ415">
        <v>415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 x14ac:dyDescent="0.2">
      <c r="A416">
        <f>ROW(Source!A435)</f>
        <v>435</v>
      </c>
      <c r="B416">
        <v>94802377</v>
      </c>
      <c r="C416">
        <v>94802368</v>
      </c>
      <c r="D416">
        <v>37804342</v>
      </c>
      <c r="E416">
        <v>1</v>
      </c>
      <c r="F416">
        <v>1</v>
      </c>
      <c r="G416">
        <v>1</v>
      </c>
      <c r="H416">
        <v>2</v>
      </c>
      <c r="I416" t="s">
        <v>1033</v>
      </c>
      <c r="J416" t="s">
        <v>1034</v>
      </c>
      <c r="K416" t="s">
        <v>1035</v>
      </c>
      <c r="L416">
        <v>1368</v>
      </c>
      <c r="N416">
        <v>1011</v>
      </c>
      <c r="O416" t="s">
        <v>700</v>
      </c>
      <c r="P416" t="s">
        <v>700</v>
      </c>
      <c r="Q416">
        <v>1</v>
      </c>
      <c r="X416">
        <v>2.04</v>
      </c>
      <c r="Y416">
        <v>0</v>
      </c>
      <c r="Z416">
        <v>777.55</v>
      </c>
      <c r="AA416">
        <v>14.72</v>
      </c>
      <c r="AB416">
        <v>0</v>
      </c>
      <c r="AC416">
        <v>0</v>
      </c>
      <c r="AD416">
        <v>1</v>
      </c>
      <c r="AE416">
        <v>0</v>
      </c>
      <c r="AF416" t="s">
        <v>3</v>
      </c>
      <c r="AG416">
        <v>2.04</v>
      </c>
      <c r="AH416">
        <v>2</v>
      </c>
      <c r="AI416">
        <v>94802377</v>
      </c>
      <c r="AJ416">
        <v>416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 x14ac:dyDescent="0.2">
      <c r="A417">
        <f>ROW(Source!A435)</f>
        <v>435</v>
      </c>
      <c r="B417">
        <v>94802378</v>
      </c>
      <c r="C417">
        <v>94802368</v>
      </c>
      <c r="D417">
        <v>37804343</v>
      </c>
      <c r="E417">
        <v>1</v>
      </c>
      <c r="F417">
        <v>1</v>
      </c>
      <c r="G417">
        <v>1</v>
      </c>
      <c r="H417">
        <v>2</v>
      </c>
      <c r="I417" t="s">
        <v>1036</v>
      </c>
      <c r="J417" t="s">
        <v>1037</v>
      </c>
      <c r="K417" t="s">
        <v>1038</v>
      </c>
      <c r="L417">
        <v>1368</v>
      </c>
      <c r="N417">
        <v>1011</v>
      </c>
      <c r="O417" t="s">
        <v>700</v>
      </c>
      <c r="P417" t="s">
        <v>700</v>
      </c>
      <c r="Q417">
        <v>1</v>
      </c>
      <c r="X417">
        <v>2.04</v>
      </c>
      <c r="Y417">
        <v>0</v>
      </c>
      <c r="Z417">
        <v>21.46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3</v>
      </c>
      <c r="AG417">
        <v>2.04</v>
      </c>
      <c r="AH417">
        <v>2</v>
      </c>
      <c r="AI417">
        <v>94802378</v>
      </c>
      <c r="AJ417">
        <v>417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 x14ac:dyDescent="0.2">
      <c r="A418">
        <f>ROW(Source!A435)</f>
        <v>435</v>
      </c>
      <c r="B418">
        <v>94802379</v>
      </c>
      <c r="C418">
        <v>94802368</v>
      </c>
      <c r="D418">
        <v>37804344</v>
      </c>
      <c r="E418">
        <v>1</v>
      </c>
      <c r="F418">
        <v>1</v>
      </c>
      <c r="G418">
        <v>1</v>
      </c>
      <c r="H418">
        <v>2</v>
      </c>
      <c r="I418" t="s">
        <v>1074</v>
      </c>
      <c r="J418" t="s">
        <v>1075</v>
      </c>
      <c r="K418" t="s">
        <v>1076</v>
      </c>
      <c r="L418">
        <v>1368</v>
      </c>
      <c r="N418">
        <v>1011</v>
      </c>
      <c r="O418" t="s">
        <v>700</v>
      </c>
      <c r="P418" t="s">
        <v>700</v>
      </c>
      <c r="Q418">
        <v>1</v>
      </c>
      <c r="X418">
        <v>1.51</v>
      </c>
      <c r="Y418">
        <v>0</v>
      </c>
      <c r="Z418">
        <v>330.4</v>
      </c>
      <c r="AA418">
        <v>12.1</v>
      </c>
      <c r="AB418">
        <v>0</v>
      </c>
      <c r="AC418">
        <v>0</v>
      </c>
      <c r="AD418">
        <v>1</v>
      </c>
      <c r="AE418">
        <v>0</v>
      </c>
      <c r="AF418" t="s">
        <v>3</v>
      </c>
      <c r="AG418">
        <v>1.51</v>
      </c>
      <c r="AH418">
        <v>2</v>
      </c>
      <c r="AI418">
        <v>94802379</v>
      </c>
      <c r="AJ418">
        <v>418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 x14ac:dyDescent="0.2">
      <c r="A419">
        <f>ROW(Source!A435)</f>
        <v>435</v>
      </c>
      <c r="B419">
        <v>94802380</v>
      </c>
      <c r="C419">
        <v>94802368</v>
      </c>
      <c r="D419">
        <v>37804345</v>
      </c>
      <c r="E419">
        <v>1</v>
      </c>
      <c r="F419">
        <v>1</v>
      </c>
      <c r="G419">
        <v>1</v>
      </c>
      <c r="H419">
        <v>2</v>
      </c>
      <c r="I419" t="s">
        <v>1077</v>
      </c>
      <c r="J419" t="s">
        <v>1078</v>
      </c>
      <c r="K419" t="s">
        <v>1079</v>
      </c>
      <c r="L419">
        <v>1368</v>
      </c>
      <c r="N419">
        <v>1011</v>
      </c>
      <c r="O419" t="s">
        <v>700</v>
      </c>
      <c r="P419" t="s">
        <v>700</v>
      </c>
      <c r="Q419">
        <v>1</v>
      </c>
      <c r="X419">
        <v>2.59</v>
      </c>
      <c r="Y419">
        <v>0</v>
      </c>
      <c r="Z419">
        <v>130.55000000000001</v>
      </c>
      <c r="AA419">
        <v>12.1</v>
      </c>
      <c r="AB419">
        <v>0</v>
      </c>
      <c r="AC419">
        <v>0</v>
      </c>
      <c r="AD419">
        <v>1</v>
      </c>
      <c r="AE419">
        <v>0</v>
      </c>
      <c r="AF419" t="s">
        <v>3</v>
      </c>
      <c r="AG419">
        <v>2.59</v>
      </c>
      <c r="AH419">
        <v>2</v>
      </c>
      <c r="AI419">
        <v>94802380</v>
      </c>
      <c r="AJ419">
        <v>419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 x14ac:dyDescent="0.2">
      <c r="A420">
        <f>ROW(Source!A435)</f>
        <v>435</v>
      </c>
      <c r="B420">
        <v>94802381</v>
      </c>
      <c r="C420">
        <v>94802368</v>
      </c>
      <c r="D420">
        <v>37804346</v>
      </c>
      <c r="E420">
        <v>1</v>
      </c>
      <c r="F420">
        <v>1</v>
      </c>
      <c r="G420">
        <v>1</v>
      </c>
      <c r="H420">
        <v>2</v>
      </c>
      <c r="I420" t="s">
        <v>1039</v>
      </c>
      <c r="J420" t="s">
        <v>1040</v>
      </c>
      <c r="K420" t="s">
        <v>1041</v>
      </c>
      <c r="L420">
        <v>1368</v>
      </c>
      <c r="N420">
        <v>1011</v>
      </c>
      <c r="O420" t="s">
        <v>700</v>
      </c>
      <c r="P420" t="s">
        <v>700</v>
      </c>
      <c r="Q420">
        <v>1</v>
      </c>
      <c r="X420">
        <v>2.14</v>
      </c>
      <c r="Y420">
        <v>0</v>
      </c>
      <c r="Z420">
        <v>526.5</v>
      </c>
      <c r="AA420">
        <v>12.1</v>
      </c>
      <c r="AB420">
        <v>0</v>
      </c>
      <c r="AC420">
        <v>0</v>
      </c>
      <c r="AD420">
        <v>1</v>
      </c>
      <c r="AE420">
        <v>0</v>
      </c>
      <c r="AF420" t="s">
        <v>3</v>
      </c>
      <c r="AG420">
        <v>2.14</v>
      </c>
      <c r="AH420">
        <v>2</v>
      </c>
      <c r="AI420">
        <v>94802381</v>
      </c>
      <c r="AJ420">
        <v>420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 x14ac:dyDescent="0.2">
      <c r="A421">
        <f>ROW(Source!A435)</f>
        <v>435</v>
      </c>
      <c r="B421">
        <v>94802382</v>
      </c>
      <c r="C421">
        <v>94802368</v>
      </c>
      <c r="D421">
        <v>37804368</v>
      </c>
      <c r="E421">
        <v>1</v>
      </c>
      <c r="F421">
        <v>1</v>
      </c>
      <c r="G421">
        <v>1</v>
      </c>
      <c r="H421">
        <v>2</v>
      </c>
      <c r="I421" t="s">
        <v>1042</v>
      </c>
      <c r="J421" t="s">
        <v>1043</v>
      </c>
      <c r="K421" t="s">
        <v>1044</v>
      </c>
      <c r="L421">
        <v>1368</v>
      </c>
      <c r="N421">
        <v>1011</v>
      </c>
      <c r="O421" t="s">
        <v>700</v>
      </c>
      <c r="P421" t="s">
        <v>700</v>
      </c>
      <c r="Q421">
        <v>1</v>
      </c>
      <c r="X421">
        <v>3.71</v>
      </c>
      <c r="Y421">
        <v>0</v>
      </c>
      <c r="Z421">
        <v>221.38</v>
      </c>
      <c r="AA421">
        <v>9</v>
      </c>
      <c r="AB421">
        <v>0</v>
      </c>
      <c r="AC421">
        <v>0</v>
      </c>
      <c r="AD421">
        <v>1</v>
      </c>
      <c r="AE421">
        <v>0</v>
      </c>
      <c r="AF421" t="s">
        <v>3</v>
      </c>
      <c r="AG421">
        <v>3.71</v>
      </c>
      <c r="AH421">
        <v>2</v>
      </c>
      <c r="AI421">
        <v>94802382</v>
      </c>
      <c r="AJ421">
        <v>421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 x14ac:dyDescent="0.2">
      <c r="A422">
        <f>ROW(Source!A435)</f>
        <v>435</v>
      </c>
      <c r="B422">
        <v>94802383</v>
      </c>
      <c r="C422">
        <v>94802368</v>
      </c>
      <c r="D422">
        <v>37804412</v>
      </c>
      <c r="E422">
        <v>1</v>
      </c>
      <c r="F422">
        <v>1</v>
      </c>
      <c r="G422">
        <v>1</v>
      </c>
      <c r="H422">
        <v>2</v>
      </c>
      <c r="I422" t="s">
        <v>1080</v>
      </c>
      <c r="J422" t="s">
        <v>1081</v>
      </c>
      <c r="K422" t="s">
        <v>1082</v>
      </c>
      <c r="L422">
        <v>1368</v>
      </c>
      <c r="N422">
        <v>1011</v>
      </c>
      <c r="O422" t="s">
        <v>700</v>
      </c>
      <c r="P422" t="s">
        <v>700</v>
      </c>
      <c r="Q422">
        <v>1</v>
      </c>
      <c r="X422">
        <v>1.52</v>
      </c>
      <c r="Y422">
        <v>0</v>
      </c>
      <c r="Z422">
        <v>21.06</v>
      </c>
      <c r="AA422">
        <v>0</v>
      </c>
      <c r="AB422">
        <v>0</v>
      </c>
      <c r="AC422">
        <v>0</v>
      </c>
      <c r="AD422">
        <v>1</v>
      </c>
      <c r="AE422">
        <v>0</v>
      </c>
      <c r="AF422" t="s">
        <v>3</v>
      </c>
      <c r="AG422">
        <v>1.52</v>
      </c>
      <c r="AH422">
        <v>2</v>
      </c>
      <c r="AI422">
        <v>94802383</v>
      </c>
      <c r="AJ422">
        <v>422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 x14ac:dyDescent="0.2">
      <c r="A423">
        <f>ROW(Source!A435)</f>
        <v>435</v>
      </c>
      <c r="B423">
        <v>94802384</v>
      </c>
      <c r="C423">
        <v>94802368</v>
      </c>
      <c r="D423">
        <v>37804485</v>
      </c>
      <c r="E423">
        <v>1</v>
      </c>
      <c r="F423">
        <v>1</v>
      </c>
      <c r="G423">
        <v>1</v>
      </c>
      <c r="H423">
        <v>2</v>
      </c>
      <c r="I423" t="s">
        <v>1051</v>
      </c>
      <c r="J423" t="s">
        <v>1052</v>
      </c>
      <c r="K423" t="s">
        <v>1053</v>
      </c>
      <c r="L423">
        <v>1368</v>
      </c>
      <c r="N423">
        <v>1011</v>
      </c>
      <c r="O423" t="s">
        <v>700</v>
      </c>
      <c r="P423" t="s">
        <v>700</v>
      </c>
      <c r="Q423">
        <v>1</v>
      </c>
      <c r="X423">
        <v>0.2</v>
      </c>
      <c r="Y423">
        <v>0</v>
      </c>
      <c r="Z423">
        <v>119.36</v>
      </c>
      <c r="AA423">
        <v>10.35</v>
      </c>
      <c r="AB423">
        <v>0</v>
      </c>
      <c r="AC423">
        <v>0</v>
      </c>
      <c r="AD423">
        <v>1</v>
      </c>
      <c r="AE423">
        <v>0</v>
      </c>
      <c r="AF423" t="s">
        <v>3</v>
      </c>
      <c r="AG423">
        <v>0.2</v>
      </c>
      <c r="AH423">
        <v>2</v>
      </c>
      <c r="AI423">
        <v>94802384</v>
      </c>
      <c r="AJ423">
        <v>423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 x14ac:dyDescent="0.2">
      <c r="A424">
        <f>ROW(Source!A435)</f>
        <v>435</v>
      </c>
      <c r="B424">
        <v>94802385</v>
      </c>
      <c r="C424">
        <v>94802368</v>
      </c>
      <c r="D424">
        <v>37735405</v>
      </c>
      <c r="E424">
        <v>1</v>
      </c>
      <c r="F424">
        <v>1</v>
      </c>
      <c r="G424">
        <v>1</v>
      </c>
      <c r="H424">
        <v>3</v>
      </c>
      <c r="I424" t="s">
        <v>1054</v>
      </c>
      <c r="J424" t="s">
        <v>1055</v>
      </c>
      <c r="K424" t="s">
        <v>1056</v>
      </c>
      <c r="L424">
        <v>1348</v>
      </c>
      <c r="N424">
        <v>1009</v>
      </c>
      <c r="O424" t="s">
        <v>170</v>
      </c>
      <c r="P424" t="s">
        <v>170</v>
      </c>
      <c r="Q424">
        <v>1000</v>
      </c>
      <c r="X424">
        <v>8.0000000000000004E-4</v>
      </c>
      <c r="Y424">
        <v>5989</v>
      </c>
      <c r="Z424">
        <v>0</v>
      </c>
      <c r="AA424">
        <v>0</v>
      </c>
      <c r="AB424">
        <v>0</v>
      </c>
      <c r="AC424">
        <v>0</v>
      </c>
      <c r="AD424">
        <v>1</v>
      </c>
      <c r="AE424">
        <v>0</v>
      </c>
      <c r="AF424" t="s">
        <v>3</v>
      </c>
      <c r="AG424">
        <v>8.0000000000000004E-4</v>
      </c>
      <c r="AH424">
        <v>2</v>
      </c>
      <c r="AI424">
        <v>94802385</v>
      </c>
      <c r="AJ424">
        <v>424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 x14ac:dyDescent="0.2">
      <c r="A425">
        <f>ROW(Source!A435)</f>
        <v>435</v>
      </c>
      <c r="B425">
        <v>94802386</v>
      </c>
      <c r="C425">
        <v>94802368</v>
      </c>
      <c r="D425">
        <v>37737522</v>
      </c>
      <c r="E425">
        <v>1</v>
      </c>
      <c r="F425">
        <v>1</v>
      </c>
      <c r="G425">
        <v>1</v>
      </c>
      <c r="H425">
        <v>3</v>
      </c>
      <c r="I425" t="s">
        <v>1083</v>
      </c>
      <c r="J425" t="s">
        <v>1084</v>
      </c>
      <c r="K425" t="s">
        <v>1085</v>
      </c>
      <c r="L425">
        <v>1354</v>
      </c>
      <c r="N425">
        <v>1010</v>
      </c>
      <c r="O425" t="s">
        <v>47</v>
      </c>
      <c r="P425" t="s">
        <v>47</v>
      </c>
      <c r="Q425">
        <v>1</v>
      </c>
      <c r="X425">
        <v>0.78200000000000003</v>
      </c>
      <c r="Y425">
        <v>748.05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0</v>
      </c>
      <c r="AF425" t="s">
        <v>3</v>
      </c>
      <c r="AG425">
        <v>0.78200000000000003</v>
      </c>
      <c r="AH425">
        <v>2</v>
      </c>
      <c r="AI425">
        <v>94802386</v>
      </c>
      <c r="AJ425">
        <v>425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 x14ac:dyDescent="0.2">
      <c r="A426">
        <f>ROW(Source!A435)</f>
        <v>435</v>
      </c>
      <c r="B426">
        <v>94802387</v>
      </c>
      <c r="C426">
        <v>94802368</v>
      </c>
      <c r="D426">
        <v>37730358</v>
      </c>
      <c r="E426">
        <v>1</v>
      </c>
      <c r="F426">
        <v>1</v>
      </c>
      <c r="G426">
        <v>1</v>
      </c>
      <c r="H426">
        <v>3</v>
      </c>
      <c r="I426" t="s">
        <v>1057</v>
      </c>
      <c r="J426" t="s">
        <v>1058</v>
      </c>
      <c r="K426" t="s">
        <v>1059</v>
      </c>
      <c r="L426">
        <v>1348</v>
      </c>
      <c r="N426">
        <v>1009</v>
      </c>
      <c r="O426" t="s">
        <v>170</v>
      </c>
      <c r="P426" t="s">
        <v>170</v>
      </c>
      <c r="Q426">
        <v>1000</v>
      </c>
      <c r="X426">
        <v>2.3999999999999998E-3</v>
      </c>
      <c r="Y426">
        <v>45130</v>
      </c>
      <c r="Z426">
        <v>0</v>
      </c>
      <c r="AA426">
        <v>0</v>
      </c>
      <c r="AB426">
        <v>0</v>
      </c>
      <c r="AC426">
        <v>0</v>
      </c>
      <c r="AD426">
        <v>1</v>
      </c>
      <c r="AE426">
        <v>0</v>
      </c>
      <c r="AF426" t="s">
        <v>3</v>
      </c>
      <c r="AG426">
        <v>2.3999999999999998E-3</v>
      </c>
      <c r="AH426">
        <v>2</v>
      </c>
      <c r="AI426">
        <v>94802387</v>
      </c>
      <c r="AJ426">
        <v>426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 x14ac:dyDescent="0.2">
      <c r="A427">
        <f>ROW(Source!A435)</f>
        <v>435</v>
      </c>
      <c r="B427">
        <v>94802388</v>
      </c>
      <c r="C427">
        <v>94802368</v>
      </c>
      <c r="D427">
        <v>37730500</v>
      </c>
      <c r="E427">
        <v>1</v>
      </c>
      <c r="F427">
        <v>1</v>
      </c>
      <c r="G427">
        <v>1</v>
      </c>
      <c r="H427">
        <v>3</v>
      </c>
      <c r="I427" t="s">
        <v>1060</v>
      </c>
      <c r="J427" t="s">
        <v>1061</v>
      </c>
      <c r="K427" t="s">
        <v>1062</v>
      </c>
      <c r="L427">
        <v>1348</v>
      </c>
      <c r="N427">
        <v>1009</v>
      </c>
      <c r="O427" t="s">
        <v>170</v>
      </c>
      <c r="P427" t="s">
        <v>170</v>
      </c>
      <c r="Q427">
        <v>1000</v>
      </c>
      <c r="X427">
        <v>4.0000000000000001E-3</v>
      </c>
      <c r="Y427">
        <v>1654.64</v>
      </c>
      <c r="Z427">
        <v>0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3</v>
      </c>
      <c r="AG427">
        <v>4.0000000000000001E-3</v>
      </c>
      <c r="AH427">
        <v>2</v>
      </c>
      <c r="AI427">
        <v>94802388</v>
      </c>
      <c r="AJ427">
        <v>427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 x14ac:dyDescent="0.2">
      <c r="A428">
        <f>ROW(Source!A435)</f>
        <v>435</v>
      </c>
      <c r="B428">
        <v>94802389</v>
      </c>
      <c r="C428">
        <v>94802368</v>
      </c>
      <c r="D428">
        <v>37736785</v>
      </c>
      <c r="E428">
        <v>1</v>
      </c>
      <c r="F428">
        <v>1</v>
      </c>
      <c r="G428">
        <v>1</v>
      </c>
      <c r="H428">
        <v>3</v>
      </c>
      <c r="I428" t="s">
        <v>1066</v>
      </c>
      <c r="J428" t="s">
        <v>1067</v>
      </c>
      <c r="K428" t="s">
        <v>353</v>
      </c>
      <c r="L428">
        <v>1348</v>
      </c>
      <c r="N428">
        <v>1009</v>
      </c>
      <c r="O428" t="s">
        <v>170</v>
      </c>
      <c r="P428" t="s">
        <v>170</v>
      </c>
      <c r="Q428">
        <v>1000</v>
      </c>
      <c r="X428">
        <v>1.2E-2</v>
      </c>
      <c r="Y428">
        <v>10068</v>
      </c>
      <c r="Z428">
        <v>0</v>
      </c>
      <c r="AA428">
        <v>0</v>
      </c>
      <c r="AB428">
        <v>0</v>
      </c>
      <c r="AC428">
        <v>0</v>
      </c>
      <c r="AD428">
        <v>1</v>
      </c>
      <c r="AE428">
        <v>0</v>
      </c>
      <c r="AF428" t="s">
        <v>3</v>
      </c>
      <c r="AG428">
        <v>1.2E-2</v>
      </c>
      <c r="AH428">
        <v>2</v>
      </c>
      <c r="AI428">
        <v>94802389</v>
      </c>
      <c r="AJ428">
        <v>428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 x14ac:dyDescent="0.2">
      <c r="A429">
        <f>ROW(Source!A435)</f>
        <v>435</v>
      </c>
      <c r="B429">
        <v>94802390</v>
      </c>
      <c r="C429">
        <v>94802368</v>
      </c>
      <c r="D429">
        <v>37753215</v>
      </c>
      <c r="E429">
        <v>1</v>
      </c>
      <c r="F429">
        <v>1</v>
      </c>
      <c r="G429">
        <v>1</v>
      </c>
      <c r="H429">
        <v>3</v>
      </c>
      <c r="I429" t="s">
        <v>1068</v>
      </c>
      <c r="J429" t="s">
        <v>1069</v>
      </c>
      <c r="K429" t="s">
        <v>1070</v>
      </c>
      <c r="L429">
        <v>1348</v>
      </c>
      <c r="N429">
        <v>1009</v>
      </c>
      <c r="O429" t="s">
        <v>170</v>
      </c>
      <c r="P429" t="s">
        <v>170</v>
      </c>
      <c r="Q429">
        <v>1000</v>
      </c>
      <c r="X429">
        <v>8.0000000000000004E-4</v>
      </c>
      <c r="Y429">
        <v>5565.03</v>
      </c>
      <c r="Z429">
        <v>0</v>
      </c>
      <c r="AA429">
        <v>0</v>
      </c>
      <c r="AB429">
        <v>0</v>
      </c>
      <c r="AC429">
        <v>0</v>
      </c>
      <c r="AD429">
        <v>1</v>
      </c>
      <c r="AE429">
        <v>0</v>
      </c>
      <c r="AF429" t="s">
        <v>3</v>
      </c>
      <c r="AG429">
        <v>8.0000000000000004E-4</v>
      </c>
      <c r="AH429">
        <v>2</v>
      </c>
      <c r="AI429">
        <v>94802390</v>
      </c>
      <c r="AJ429">
        <v>429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 x14ac:dyDescent="0.2">
      <c r="A430">
        <f>ROW(Source!A435)</f>
        <v>435</v>
      </c>
      <c r="B430">
        <v>94802391</v>
      </c>
      <c r="C430">
        <v>94802368</v>
      </c>
      <c r="D430">
        <v>37777720</v>
      </c>
      <c r="E430">
        <v>1</v>
      </c>
      <c r="F430">
        <v>1</v>
      </c>
      <c r="G430">
        <v>1</v>
      </c>
      <c r="H430">
        <v>3</v>
      </c>
      <c r="I430" t="s">
        <v>1086</v>
      </c>
      <c r="J430" t="s">
        <v>1087</v>
      </c>
      <c r="K430" t="s">
        <v>1088</v>
      </c>
      <c r="L430">
        <v>1348</v>
      </c>
      <c r="N430">
        <v>1009</v>
      </c>
      <c r="O430" t="s">
        <v>170</v>
      </c>
      <c r="P430" t="s">
        <v>170</v>
      </c>
      <c r="Q430">
        <v>1000</v>
      </c>
      <c r="X430">
        <v>105.26</v>
      </c>
      <c r="Y430">
        <v>420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0</v>
      </c>
      <c r="AF430" t="s">
        <v>3</v>
      </c>
      <c r="AG430">
        <v>105.26</v>
      </c>
      <c r="AH430">
        <v>2</v>
      </c>
      <c r="AI430">
        <v>94802391</v>
      </c>
      <c r="AJ430">
        <v>430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 x14ac:dyDescent="0.2">
      <c r="A431">
        <f>ROW(Source!A435)</f>
        <v>435</v>
      </c>
      <c r="B431">
        <v>94802392</v>
      </c>
      <c r="C431">
        <v>94802368</v>
      </c>
      <c r="D431">
        <v>37777803</v>
      </c>
      <c r="E431">
        <v>1</v>
      </c>
      <c r="F431">
        <v>1</v>
      </c>
      <c r="G431">
        <v>1</v>
      </c>
      <c r="H431">
        <v>3</v>
      </c>
      <c r="I431" t="s">
        <v>1089</v>
      </c>
      <c r="J431" t="s">
        <v>1090</v>
      </c>
      <c r="K431" t="s">
        <v>1091</v>
      </c>
      <c r="L431">
        <v>1339</v>
      </c>
      <c r="N431">
        <v>1007</v>
      </c>
      <c r="O431" t="s">
        <v>52</v>
      </c>
      <c r="P431" t="s">
        <v>52</v>
      </c>
      <c r="Q431">
        <v>1</v>
      </c>
      <c r="X431">
        <v>20.52</v>
      </c>
      <c r="Y431">
        <v>3.21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3</v>
      </c>
      <c r="AG431">
        <v>20.52</v>
      </c>
      <c r="AH431">
        <v>2</v>
      </c>
      <c r="AI431">
        <v>94802392</v>
      </c>
      <c r="AJ431">
        <v>431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 x14ac:dyDescent="0.2">
      <c r="A432">
        <f>ROW(Source!A436)</f>
        <v>436</v>
      </c>
      <c r="B432">
        <v>94802663</v>
      </c>
      <c r="C432">
        <v>94802662</v>
      </c>
      <c r="D432">
        <v>23129805</v>
      </c>
      <c r="E432">
        <v>1</v>
      </c>
      <c r="F432">
        <v>1</v>
      </c>
      <c r="G432">
        <v>1</v>
      </c>
      <c r="H432">
        <v>1</v>
      </c>
      <c r="I432" t="s">
        <v>703</v>
      </c>
      <c r="J432" t="s">
        <v>3</v>
      </c>
      <c r="K432" t="s">
        <v>704</v>
      </c>
      <c r="L432">
        <v>1369</v>
      </c>
      <c r="N432">
        <v>1013</v>
      </c>
      <c r="O432" t="s">
        <v>696</v>
      </c>
      <c r="P432" t="s">
        <v>696</v>
      </c>
      <c r="Q432">
        <v>1</v>
      </c>
      <c r="X432">
        <v>45.93</v>
      </c>
      <c r="Y432">
        <v>0</v>
      </c>
      <c r="Z432">
        <v>0</v>
      </c>
      <c r="AA432">
        <v>0</v>
      </c>
      <c r="AB432">
        <v>7.97</v>
      </c>
      <c r="AC432">
        <v>0</v>
      </c>
      <c r="AD432">
        <v>1</v>
      </c>
      <c r="AE432">
        <v>1</v>
      </c>
      <c r="AF432" t="s">
        <v>3</v>
      </c>
      <c r="AG432">
        <v>45.93</v>
      </c>
      <c r="AH432">
        <v>2</v>
      </c>
      <c r="AI432">
        <v>94802663</v>
      </c>
      <c r="AJ432">
        <v>432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 x14ac:dyDescent="0.2">
      <c r="A433">
        <f>ROW(Source!A436)</f>
        <v>436</v>
      </c>
      <c r="B433">
        <v>94802664</v>
      </c>
      <c r="C433">
        <v>94802662</v>
      </c>
      <c r="D433">
        <v>121548</v>
      </c>
      <c r="E433">
        <v>1</v>
      </c>
      <c r="F433">
        <v>1</v>
      </c>
      <c r="G433">
        <v>1</v>
      </c>
      <c r="H433">
        <v>1</v>
      </c>
      <c r="I433" t="s">
        <v>28</v>
      </c>
      <c r="J433" t="s">
        <v>3</v>
      </c>
      <c r="K433" t="s">
        <v>705</v>
      </c>
      <c r="L433">
        <v>608254</v>
      </c>
      <c r="N433">
        <v>1013</v>
      </c>
      <c r="O433" t="s">
        <v>706</v>
      </c>
      <c r="P433" t="s">
        <v>706</v>
      </c>
      <c r="Q433">
        <v>1</v>
      </c>
      <c r="X433">
        <v>10.53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1</v>
      </c>
      <c r="AE433">
        <v>2</v>
      </c>
      <c r="AF433" t="s">
        <v>3</v>
      </c>
      <c r="AG433">
        <v>10.53</v>
      </c>
      <c r="AH433">
        <v>2</v>
      </c>
      <c r="AI433">
        <v>94802664</v>
      </c>
      <c r="AJ433">
        <v>433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 x14ac:dyDescent="0.2">
      <c r="A434">
        <f>ROW(Source!A436)</f>
        <v>436</v>
      </c>
      <c r="B434">
        <v>94802665</v>
      </c>
      <c r="C434">
        <v>94802662</v>
      </c>
      <c r="D434">
        <v>37802715</v>
      </c>
      <c r="E434">
        <v>1</v>
      </c>
      <c r="F434">
        <v>1</v>
      </c>
      <c r="G434">
        <v>1</v>
      </c>
      <c r="H434">
        <v>2</v>
      </c>
      <c r="I434" t="s">
        <v>1092</v>
      </c>
      <c r="J434" t="s">
        <v>1093</v>
      </c>
      <c r="K434" t="s">
        <v>1094</v>
      </c>
      <c r="L434">
        <v>1368</v>
      </c>
      <c r="N434">
        <v>1011</v>
      </c>
      <c r="O434" t="s">
        <v>700</v>
      </c>
      <c r="P434" t="s">
        <v>700</v>
      </c>
      <c r="Q434">
        <v>1</v>
      </c>
      <c r="X434">
        <v>3.09</v>
      </c>
      <c r="Y434">
        <v>0</v>
      </c>
      <c r="Z434">
        <v>106.86</v>
      </c>
      <c r="AA434">
        <v>20.7</v>
      </c>
      <c r="AB434">
        <v>0</v>
      </c>
      <c r="AC434">
        <v>0</v>
      </c>
      <c r="AD434">
        <v>1</v>
      </c>
      <c r="AE434">
        <v>0</v>
      </c>
      <c r="AF434" t="s">
        <v>3</v>
      </c>
      <c r="AG434">
        <v>3.09</v>
      </c>
      <c r="AH434">
        <v>2</v>
      </c>
      <c r="AI434">
        <v>94802665</v>
      </c>
      <c r="AJ434">
        <v>434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 x14ac:dyDescent="0.2">
      <c r="A435">
        <f>ROW(Source!A436)</f>
        <v>436</v>
      </c>
      <c r="B435">
        <v>94802666</v>
      </c>
      <c r="C435">
        <v>94802662</v>
      </c>
      <c r="D435">
        <v>37802810</v>
      </c>
      <c r="E435">
        <v>1</v>
      </c>
      <c r="F435">
        <v>1</v>
      </c>
      <c r="G435">
        <v>1</v>
      </c>
      <c r="H435">
        <v>2</v>
      </c>
      <c r="I435" t="s">
        <v>992</v>
      </c>
      <c r="J435" t="s">
        <v>993</v>
      </c>
      <c r="K435" t="s">
        <v>994</v>
      </c>
      <c r="L435">
        <v>1368</v>
      </c>
      <c r="N435">
        <v>1011</v>
      </c>
      <c r="O435" t="s">
        <v>700</v>
      </c>
      <c r="P435" t="s">
        <v>700</v>
      </c>
      <c r="Q435">
        <v>1</v>
      </c>
      <c r="X435">
        <v>0.09</v>
      </c>
      <c r="Y435">
        <v>0</v>
      </c>
      <c r="Z435">
        <v>108.37</v>
      </c>
      <c r="AA435">
        <v>12.1</v>
      </c>
      <c r="AB435">
        <v>0</v>
      </c>
      <c r="AC435">
        <v>0</v>
      </c>
      <c r="AD435">
        <v>1</v>
      </c>
      <c r="AE435">
        <v>0</v>
      </c>
      <c r="AF435" t="s">
        <v>3</v>
      </c>
      <c r="AG435">
        <v>0.09</v>
      </c>
      <c r="AH435">
        <v>2</v>
      </c>
      <c r="AI435">
        <v>94802666</v>
      </c>
      <c r="AJ435">
        <v>435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 x14ac:dyDescent="0.2">
      <c r="A436">
        <f>ROW(Source!A436)</f>
        <v>436</v>
      </c>
      <c r="B436">
        <v>94802667</v>
      </c>
      <c r="C436">
        <v>94802662</v>
      </c>
      <c r="D436">
        <v>37803022</v>
      </c>
      <c r="E436">
        <v>1</v>
      </c>
      <c r="F436">
        <v>1</v>
      </c>
      <c r="G436">
        <v>1</v>
      </c>
      <c r="H436">
        <v>2</v>
      </c>
      <c r="I436" t="s">
        <v>874</v>
      </c>
      <c r="J436" t="s">
        <v>875</v>
      </c>
      <c r="K436" t="s">
        <v>876</v>
      </c>
      <c r="L436">
        <v>1368</v>
      </c>
      <c r="N436">
        <v>1011</v>
      </c>
      <c r="O436" t="s">
        <v>700</v>
      </c>
      <c r="P436" t="s">
        <v>700</v>
      </c>
      <c r="Q436">
        <v>1</v>
      </c>
      <c r="X436">
        <v>0.36</v>
      </c>
      <c r="Y436">
        <v>0</v>
      </c>
      <c r="Z436">
        <v>155.09</v>
      </c>
      <c r="AA436">
        <v>12.1</v>
      </c>
      <c r="AB436">
        <v>0</v>
      </c>
      <c r="AC436">
        <v>0</v>
      </c>
      <c r="AD436">
        <v>1</v>
      </c>
      <c r="AE436">
        <v>0</v>
      </c>
      <c r="AF436" t="s">
        <v>3</v>
      </c>
      <c r="AG436">
        <v>0.36</v>
      </c>
      <c r="AH436">
        <v>2</v>
      </c>
      <c r="AI436">
        <v>94802667</v>
      </c>
      <c r="AJ436">
        <v>436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 x14ac:dyDescent="0.2">
      <c r="A437">
        <f>ROW(Source!A436)</f>
        <v>436</v>
      </c>
      <c r="B437">
        <v>94802668</v>
      </c>
      <c r="C437">
        <v>94802662</v>
      </c>
      <c r="D437">
        <v>37803039</v>
      </c>
      <c r="E437">
        <v>1</v>
      </c>
      <c r="F437">
        <v>1</v>
      </c>
      <c r="G437">
        <v>1</v>
      </c>
      <c r="H437">
        <v>2</v>
      </c>
      <c r="I437" t="s">
        <v>1095</v>
      </c>
      <c r="J437" t="s">
        <v>1096</v>
      </c>
      <c r="K437" t="s">
        <v>1097</v>
      </c>
      <c r="L437">
        <v>1368</v>
      </c>
      <c r="N437">
        <v>1011</v>
      </c>
      <c r="O437" t="s">
        <v>700</v>
      </c>
      <c r="P437" t="s">
        <v>700</v>
      </c>
      <c r="Q437">
        <v>1</v>
      </c>
      <c r="X437">
        <v>3.9</v>
      </c>
      <c r="Y437">
        <v>0</v>
      </c>
      <c r="Z437">
        <v>244.83</v>
      </c>
      <c r="AA437">
        <v>12.9</v>
      </c>
      <c r="AB437">
        <v>0</v>
      </c>
      <c r="AC437">
        <v>0</v>
      </c>
      <c r="AD437">
        <v>1</v>
      </c>
      <c r="AE437">
        <v>0</v>
      </c>
      <c r="AF437" t="s">
        <v>3</v>
      </c>
      <c r="AG437">
        <v>3.9</v>
      </c>
      <c r="AH437">
        <v>2</v>
      </c>
      <c r="AI437">
        <v>94802668</v>
      </c>
      <c r="AJ437">
        <v>437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 x14ac:dyDescent="0.2">
      <c r="A438">
        <f>ROW(Source!A480)</f>
        <v>480</v>
      </c>
      <c r="B438">
        <v>94802728</v>
      </c>
      <c r="C438">
        <v>94802727</v>
      </c>
      <c r="D438">
        <v>23129555</v>
      </c>
      <c r="E438">
        <v>1</v>
      </c>
      <c r="F438">
        <v>1</v>
      </c>
      <c r="G438">
        <v>1</v>
      </c>
      <c r="H438">
        <v>1</v>
      </c>
      <c r="I438" t="s">
        <v>701</v>
      </c>
      <c r="J438" t="s">
        <v>3</v>
      </c>
      <c r="K438" t="s">
        <v>702</v>
      </c>
      <c r="L438">
        <v>1369</v>
      </c>
      <c r="N438">
        <v>1013</v>
      </c>
      <c r="O438" t="s">
        <v>696</v>
      </c>
      <c r="P438" t="s">
        <v>696</v>
      </c>
      <c r="Q438">
        <v>1</v>
      </c>
      <c r="X438">
        <v>12.86</v>
      </c>
      <c r="Y438">
        <v>0</v>
      </c>
      <c r="Z438">
        <v>0</v>
      </c>
      <c r="AA438">
        <v>0</v>
      </c>
      <c r="AB438">
        <v>7.29</v>
      </c>
      <c r="AC438">
        <v>0</v>
      </c>
      <c r="AD438">
        <v>1</v>
      </c>
      <c r="AE438">
        <v>1</v>
      </c>
      <c r="AF438" t="s">
        <v>3</v>
      </c>
      <c r="AG438">
        <v>12.86</v>
      </c>
      <c r="AH438">
        <v>2</v>
      </c>
      <c r="AI438">
        <v>94802728</v>
      </c>
      <c r="AJ438">
        <v>438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 x14ac:dyDescent="0.2">
      <c r="A439">
        <f>ROW(Source!A480)</f>
        <v>480</v>
      </c>
      <c r="B439">
        <v>94802729</v>
      </c>
      <c r="C439">
        <v>94802727</v>
      </c>
      <c r="D439">
        <v>121548</v>
      </c>
      <c r="E439">
        <v>1</v>
      </c>
      <c r="F439">
        <v>1</v>
      </c>
      <c r="G439">
        <v>1</v>
      </c>
      <c r="H439">
        <v>1</v>
      </c>
      <c r="I439" t="s">
        <v>28</v>
      </c>
      <c r="J439" t="s">
        <v>3</v>
      </c>
      <c r="K439" t="s">
        <v>705</v>
      </c>
      <c r="L439">
        <v>608254</v>
      </c>
      <c r="N439">
        <v>1013</v>
      </c>
      <c r="O439" t="s">
        <v>706</v>
      </c>
      <c r="P439" t="s">
        <v>706</v>
      </c>
      <c r="Q439">
        <v>1</v>
      </c>
      <c r="X439">
        <v>58.76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1</v>
      </c>
      <c r="AE439">
        <v>2</v>
      </c>
      <c r="AF439" t="s">
        <v>3</v>
      </c>
      <c r="AG439">
        <v>58.76</v>
      </c>
      <c r="AH439">
        <v>2</v>
      </c>
      <c r="AI439">
        <v>94802729</v>
      </c>
      <c r="AJ439">
        <v>439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 x14ac:dyDescent="0.2">
      <c r="A440">
        <f>ROW(Source!A480)</f>
        <v>480</v>
      </c>
      <c r="B440">
        <v>94802730</v>
      </c>
      <c r="C440">
        <v>94802727</v>
      </c>
      <c r="D440">
        <v>37802763</v>
      </c>
      <c r="E440">
        <v>1</v>
      </c>
      <c r="F440">
        <v>1</v>
      </c>
      <c r="G440">
        <v>1</v>
      </c>
      <c r="H440">
        <v>2</v>
      </c>
      <c r="I440" t="s">
        <v>984</v>
      </c>
      <c r="J440" t="s">
        <v>985</v>
      </c>
      <c r="K440" t="s">
        <v>986</v>
      </c>
      <c r="L440">
        <v>1368</v>
      </c>
      <c r="N440">
        <v>1011</v>
      </c>
      <c r="O440" t="s">
        <v>700</v>
      </c>
      <c r="P440" t="s">
        <v>700</v>
      </c>
      <c r="Q440">
        <v>1</v>
      </c>
      <c r="X440">
        <v>58.76</v>
      </c>
      <c r="Y440">
        <v>0</v>
      </c>
      <c r="Z440">
        <v>74</v>
      </c>
      <c r="AA440">
        <v>10.35</v>
      </c>
      <c r="AB440">
        <v>0</v>
      </c>
      <c r="AC440">
        <v>0</v>
      </c>
      <c r="AD440">
        <v>1</v>
      </c>
      <c r="AE440">
        <v>0</v>
      </c>
      <c r="AF440" t="s">
        <v>3</v>
      </c>
      <c r="AG440">
        <v>58.76</v>
      </c>
      <c r="AH440">
        <v>2</v>
      </c>
      <c r="AI440">
        <v>94802730</v>
      </c>
      <c r="AJ440">
        <v>440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 x14ac:dyDescent="0.2">
      <c r="A441">
        <f>ROW(Source!A481)</f>
        <v>481</v>
      </c>
      <c r="B441">
        <v>94802732</v>
      </c>
      <c r="C441">
        <v>94802731</v>
      </c>
      <c r="D441">
        <v>23131263</v>
      </c>
      <c r="E441">
        <v>1</v>
      </c>
      <c r="F441">
        <v>1</v>
      </c>
      <c r="G441">
        <v>1</v>
      </c>
      <c r="H441">
        <v>1</v>
      </c>
      <c r="I441" t="s">
        <v>990</v>
      </c>
      <c r="J441" t="s">
        <v>3</v>
      </c>
      <c r="K441" t="s">
        <v>991</v>
      </c>
      <c r="L441">
        <v>1369</v>
      </c>
      <c r="N441">
        <v>1013</v>
      </c>
      <c r="O441" t="s">
        <v>696</v>
      </c>
      <c r="P441" t="s">
        <v>696</v>
      </c>
      <c r="Q441">
        <v>1</v>
      </c>
      <c r="X441">
        <v>10.199999999999999</v>
      </c>
      <c r="Y441">
        <v>0</v>
      </c>
      <c r="Z441">
        <v>0</v>
      </c>
      <c r="AA441">
        <v>0</v>
      </c>
      <c r="AB441">
        <v>7.63</v>
      </c>
      <c r="AC441">
        <v>0</v>
      </c>
      <c r="AD441">
        <v>1</v>
      </c>
      <c r="AE441">
        <v>1</v>
      </c>
      <c r="AF441" t="s">
        <v>3</v>
      </c>
      <c r="AG441">
        <v>10.199999999999999</v>
      </c>
      <c r="AH441">
        <v>2</v>
      </c>
      <c r="AI441">
        <v>94802732</v>
      </c>
      <c r="AJ441">
        <v>441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 x14ac:dyDescent="0.2">
      <c r="A442">
        <f>ROW(Source!A481)</f>
        <v>481</v>
      </c>
      <c r="B442">
        <v>94802733</v>
      </c>
      <c r="C442">
        <v>94802731</v>
      </c>
      <c r="D442">
        <v>121548</v>
      </c>
      <c r="E442">
        <v>1</v>
      </c>
      <c r="F442">
        <v>1</v>
      </c>
      <c r="G442">
        <v>1</v>
      </c>
      <c r="H442">
        <v>1</v>
      </c>
      <c r="I442" t="s">
        <v>28</v>
      </c>
      <c r="J442" t="s">
        <v>3</v>
      </c>
      <c r="K442" t="s">
        <v>705</v>
      </c>
      <c r="L442">
        <v>608254</v>
      </c>
      <c r="N442">
        <v>1013</v>
      </c>
      <c r="O442" t="s">
        <v>706</v>
      </c>
      <c r="P442" t="s">
        <v>706</v>
      </c>
      <c r="Q442">
        <v>1</v>
      </c>
      <c r="X442">
        <v>0.35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2</v>
      </c>
      <c r="AF442" t="s">
        <v>3</v>
      </c>
      <c r="AG442">
        <v>0.35</v>
      </c>
      <c r="AH442">
        <v>2</v>
      </c>
      <c r="AI442">
        <v>94802733</v>
      </c>
      <c r="AJ442">
        <v>442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 x14ac:dyDescent="0.2">
      <c r="A443">
        <f>ROW(Source!A481)</f>
        <v>481</v>
      </c>
      <c r="B443">
        <v>94802734</v>
      </c>
      <c r="C443">
        <v>94802731</v>
      </c>
      <c r="D443">
        <v>37802515</v>
      </c>
      <c r="E443">
        <v>1</v>
      </c>
      <c r="F443">
        <v>1</v>
      </c>
      <c r="G443">
        <v>1</v>
      </c>
      <c r="H443">
        <v>2</v>
      </c>
      <c r="I443" t="s">
        <v>774</v>
      </c>
      <c r="J443" t="s">
        <v>775</v>
      </c>
      <c r="K443" t="s">
        <v>776</v>
      </c>
      <c r="L443">
        <v>1368</v>
      </c>
      <c r="N443">
        <v>1011</v>
      </c>
      <c r="O443" t="s">
        <v>700</v>
      </c>
      <c r="P443" t="s">
        <v>700</v>
      </c>
      <c r="Q443">
        <v>1</v>
      </c>
      <c r="X443">
        <v>0.35</v>
      </c>
      <c r="Y443">
        <v>0</v>
      </c>
      <c r="Z443">
        <v>87.24</v>
      </c>
      <c r="AA443">
        <v>9</v>
      </c>
      <c r="AB443">
        <v>0</v>
      </c>
      <c r="AC443">
        <v>0</v>
      </c>
      <c r="AD443">
        <v>1</v>
      </c>
      <c r="AE443">
        <v>0</v>
      </c>
      <c r="AF443" t="s">
        <v>3</v>
      </c>
      <c r="AG443">
        <v>0.35</v>
      </c>
      <c r="AH443">
        <v>2</v>
      </c>
      <c r="AI443">
        <v>94802734</v>
      </c>
      <c r="AJ443">
        <v>443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 x14ac:dyDescent="0.2">
      <c r="A444">
        <f>ROW(Source!A481)</f>
        <v>481</v>
      </c>
      <c r="B444">
        <v>94802735</v>
      </c>
      <c r="C444">
        <v>94802731</v>
      </c>
      <c r="D444">
        <v>37777376</v>
      </c>
      <c r="E444">
        <v>1</v>
      </c>
      <c r="F444">
        <v>1</v>
      </c>
      <c r="G444">
        <v>1</v>
      </c>
      <c r="H444">
        <v>3</v>
      </c>
      <c r="I444" t="s">
        <v>564</v>
      </c>
      <c r="J444" t="s">
        <v>566</v>
      </c>
      <c r="K444" t="s">
        <v>565</v>
      </c>
      <c r="L444">
        <v>1339</v>
      </c>
      <c r="N444">
        <v>1007</v>
      </c>
      <c r="O444" t="s">
        <v>52</v>
      </c>
      <c r="P444" t="s">
        <v>52</v>
      </c>
      <c r="Q444">
        <v>1</v>
      </c>
      <c r="X444">
        <v>11</v>
      </c>
      <c r="Y444">
        <v>65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0</v>
      </c>
      <c r="AF444" t="s">
        <v>3</v>
      </c>
      <c r="AG444">
        <v>11</v>
      </c>
      <c r="AH444">
        <v>2</v>
      </c>
      <c r="AI444">
        <v>94802735</v>
      </c>
      <c r="AJ444">
        <v>444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 x14ac:dyDescent="0.2">
      <c r="A445">
        <f>ROW(Source!A484)</f>
        <v>484</v>
      </c>
      <c r="B445">
        <v>94802739</v>
      </c>
      <c r="C445">
        <v>94802738</v>
      </c>
      <c r="D445">
        <v>23129487</v>
      </c>
      <c r="E445">
        <v>1</v>
      </c>
      <c r="F445">
        <v>1</v>
      </c>
      <c r="G445">
        <v>1</v>
      </c>
      <c r="H445">
        <v>1</v>
      </c>
      <c r="I445" t="s">
        <v>915</v>
      </c>
      <c r="J445" t="s">
        <v>3</v>
      </c>
      <c r="K445" t="s">
        <v>916</v>
      </c>
      <c r="L445">
        <v>1369</v>
      </c>
      <c r="N445">
        <v>1013</v>
      </c>
      <c r="O445" t="s">
        <v>696</v>
      </c>
      <c r="P445" t="s">
        <v>696</v>
      </c>
      <c r="Q445">
        <v>1</v>
      </c>
      <c r="X445">
        <v>96.55</v>
      </c>
      <c r="Y445">
        <v>0</v>
      </c>
      <c r="Z445">
        <v>0</v>
      </c>
      <c r="AA445">
        <v>0</v>
      </c>
      <c r="AB445">
        <v>8.48</v>
      </c>
      <c r="AC445">
        <v>0</v>
      </c>
      <c r="AD445">
        <v>1</v>
      </c>
      <c r="AE445">
        <v>1</v>
      </c>
      <c r="AF445" t="s">
        <v>3</v>
      </c>
      <c r="AG445">
        <v>96.55</v>
      </c>
      <c r="AH445">
        <v>2</v>
      </c>
      <c r="AI445">
        <v>94802739</v>
      </c>
      <c r="AJ445">
        <v>445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 x14ac:dyDescent="0.2">
      <c r="A446">
        <f>ROW(Source!A484)</f>
        <v>484</v>
      </c>
      <c r="B446">
        <v>94802740</v>
      </c>
      <c r="C446">
        <v>94802738</v>
      </c>
      <c r="D446">
        <v>121548</v>
      </c>
      <c r="E446">
        <v>1</v>
      </c>
      <c r="F446">
        <v>1</v>
      </c>
      <c r="G446">
        <v>1</v>
      </c>
      <c r="H446">
        <v>1</v>
      </c>
      <c r="I446" t="s">
        <v>28</v>
      </c>
      <c r="J446" t="s">
        <v>3</v>
      </c>
      <c r="K446" t="s">
        <v>705</v>
      </c>
      <c r="L446">
        <v>608254</v>
      </c>
      <c r="N446">
        <v>1013</v>
      </c>
      <c r="O446" t="s">
        <v>706</v>
      </c>
      <c r="P446" t="s">
        <v>706</v>
      </c>
      <c r="Q446">
        <v>1</v>
      </c>
      <c r="X446">
        <v>10.97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2</v>
      </c>
      <c r="AF446" t="s">
        <v>3</v>
      </c>
      <c r="AG446">
        <v>10.97</v>
      </c>
      <c r="AH446">
        <v>2</v>
      </c>
      <c r="AI446">
        <v>94802740</v>
      </c>
      <c r="AJ446">
        <v>446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 x14ac:dyDescent="0.2">
      <c r="A447">
        <f>ROW(Source!A484)</f>
        <v>484</v>
      </c>
      <c r="B447">
        <v>94802741</v>
      </c>
      <c r="C447">
        <v>94802738</v>
      </c>
      <c r="D447">
        <v>37802443</v>
      </c>
      <c r="E447">
        <v>1</v>
      </c>
      <c r="F447">
        <v>1</v>
      </c>
      <c r="G447">
        <v>1</v>
      </c>
      <c r="H447">
        <v>2</v>
      </c>
      <c r="I447" t="s">
        <v>721</v>
      </c>
      <c r="J447" t="s">
        <v>722</v>
      </c>
      <c r="K447" t="s">
        <v>723</v>
      </c>
      <c r="L447">
        <v>1368</v>
      </c>
      <c r="N447">
        <v>1011</v>
      </c>
      <c r="O447" t="s">
        <v>700</v>
      </c>
      <c r="P447" t="s">
        <v>700</v>
      </c>
      <c r="Q447">
        <v>1</v>
      </c>
      <c r="X447">
        <v>10.68</v>
      </c>
      <c r="Y447">
        <v>0</v>
      </c>
      <c r="Z447">
        <v>124.14</v>
      </c>
      <c r="AA447">
        <v>12.1</v>
      </c>
      <c r="AB447">
        <v>0</v>
      </c>
      <c r="AC447">
        <v>0</v>
      </c>
      <c r="AD447">
        <v>1</v>
      </c>
      <c r="AE447">
        <v>0</v>
      </c>
      <c r="AF447" t="s">
        <v>3</v>
      </c>
      <c r="AG447">
        <v>10.68</v>
      </c>
      <c r="AH447">
        <v>2</v>
      </c>
      <c r="AI447">
        <v>94802741</v>
      </c>
      <c r="AJ447">
        <v>447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 x14ac:dyDescent="0.2">
      <c r="A448">
        <f>ROW(Source!A484)</f>
        <v>484</v>
      </c>
      <c r="B448">
        <v>94802742</v>
      </c>
      <c r="C448">
        <v>94802738</v>
      </c>
      <c r="D448">
        <v>37802515</v>
      </c>
      <c r="E448">
        <v>1</v>
      </c>
      <c r="F448">
        <v>1</v>
      </c>
      <c r="G448">
        <v>1</v>
      </c>
      <c r="H448">
        <v>2</v>
      </c>
      <c r="I448" t="s">
        <v>774</v>
      </c>
      <c r="J448" t="s">
        <v>775</v>
      </c>
      <c r="K448" t="s">
        <v>776</v>
      </c>
      <c r="L448">
        <v>1368</v>
      </c>
      <c r="N448">
        <v>1011</v>
      </c>
      <c r="O448" t="s">
        <v>700</v>
      </c>
      <c r="P448" t="s">
        <v>700</v>
      </c>
      <c r="Q448">
        <v>1</v>
      </c>
      <c r="X448">
        <v>0.16</v>
      </c>
      <c r="Y448">
        <v>0</v>
      </c>
      <c r="Z448">
        <v>87.24</v>
      </c>
      <c r="AA448">
        <v>9</v>
      </c>
      <c r="AB448">
        <v>0</v>
      </c>
      <c r="AC448">
        <v>0</v>
      </c>
      <c r="AD448">
        <v>1</v>
      </c>
      <c r="AE448">
        <v>0</v>
      </c>
      <c r="AF448" t="s">
        <v>3</v>
      </c>
      <c r="AG448">
        <v>0.16</v>
      </c>
      <c r="AH448">
        <v>2</v>
      </c>
      <c r="AI448">
        <v>94802742</v>
      </c>
      <c r="AJ448">
        <v>448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 x14ac:dyDescent="0.2">
      <c r="A449">
        <f>ROW(Source!A484)</f>
        <v>484</v>
      </c>
      <c r="B449">
        <v>94802743</v>
      </c>
      <c r="C449">
        <v>94802738</v>
      </c>
      <c r="D449">
        <v>37802635</v>
      </c>
      <c r="E449">
        <v>1</v>
      </c>
      <c r="F449">
        <v>1</v>
      </c>
      <c r="G449">
        <v>1</v>
      </c>
      <c r="H449">
        <v>2</v>
      </c>
      <c r="I449" t="s">
        <v>1098</v>
      </c>
      <c r="J449" t="s">
        <v>1099</v>
      </c>
      <c r="K449" t="s">
        <v>1100</v>
      </c>
      <c r="L449">
        <v>1368</v>
      </c>
      <c r="N449">
        <v>1011</v>
      </c>
      <c r="O449" t="s">
        <v>700</v>
      </c>
      <c r="P449" t="s">
        <v>700</v>
      </c>
      <c r="Q449">
        <v>1</v>
      </c>
      <c r="X449">
        <v>0.13</v>
      </c>
      <c r="Y449">
        <v>0</v>
      </c>
      <c r="Z449">
        <v>29.26</v>
      </c>
      <c r="AA449">
        <v>10.35</v>
      </c>
      <c r="AB449">
        <v>0</v>
      </c>
      <c r="AC449">
        <v>0</v>
      </c>
      <c r="AD449">
        <v>1</v>
      </c>
      <c r="AE449">
        <v>0</v>
      </c>
      <c r="AF449" t="s">
        <v>3</v>
      </c>
      <c r="AG449">
        <v>0.13</v>
      </c>
      <c r="AH449">
        <v>2</v>
      </c>
      <c r="AI449">
        <v>94802743</v>
      </c>
      <c r="AJ449">
        <v>449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 x14ac:dyDescent="0.2">
      <c r="A450">
        <f>ROW(Source!A484)</f>
        <v>484</v>
      </c>
      <c r="B450">
        <v>94802744</v>
      </c>
      <c r="C450">
        <v>94802738</v>
      </c>
      <c r="D450">
        <v>37804117</v>
      </c>
      <c r="E450">
        <v>1</v>
      </c>
      <c r="F450">
        <v>1</v>
      </c>
      <c r="G450">
        <v>1</v>
      </c>
      <c r="H450">
        <v>2</v>
      </c>
      <c r="I450" t="s">
        <v>1101</v>
      </c>
      <c r="J450" t="s">
        <v>1102</v>
      </c>
      <c r="K450" t="s">
        <v>1103</v>
      </c>
      <c r="L450">
        <v>1368</v>
      </c>
      <c r="N450">
        <v>1011</v>
      </c>
      <c r="O450" t="s">
        <v>700</v>
      </c>
      <c r="P450" t="s">
        <v>700</v>
      </c>
      <c r="Q450">
        <v>1</v>
      </c>
      <c r="X450">
        <v>0.26</v>
      </c>
      <c r="Y450">
        <v>0</v>
      </c>
      <c r="Z450">
        <v>7.42</v>
      </c>
      <c r="AA450">
        <v>0</v>
      </c>
      <c r="AB450">
        <v>0</v>
      </c>
      <c r="AC450">
        <v>0</v>
      </c>
      <c r="AD450">
        <v>1</v>
      </c>
      <c r="AE450">
        <v>0</v>
      </c>
      <c r="AF450" t="s">
        <v>3</v>
      </c>
      <c r="AG450">
        <v>0.26</v>
      </c>
      <c r="AH450">
        <v>2</v>
      </c>
      <c r="AI450">
        <v>94802744</v>
      </c>
      <c r="AJ450">
        <v>450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 x14ac:dyDescent="0.2">
      <c r="A451">
        <f>ROW(Source!A484)</f>
        <v>484</v>
      </c>
      <c r="B451">
        <v>94802745</v>
      </c>
      <c r="C451">
        <v>94802738</v>
      </c>
      <c r="D451">
        <v>37804456</v>
      </c>
      <c r="E451">
        <v>1</v>
      </c>
      <c r="F451">
        <v>1</v>
      </c>
      <c r="G451">
        <v>1</v>
      </c>
      <c r="H451">
        <v>2</v>
      </c>
      <c r="I451" t="s">
        <v>713</v>
      </c>
      <c r="J451" t="s">
        <v>714</v>
      </c>
      <c r="K451" t="s">
        <v>715</v>
      </c>
      <c r="L451">
        <v>1368</v>
      </c>
      <c r="N451">
        <v>1011</v>
      </c>
      <c r="O451" t="s">
        <v>700</v>
      </c>
      <c r="P451" t="s">
        <v>700</v>
      </c>
      <c r="Q451">
        <v>1</v>
      </c>
      <c r="X451">
        <v>6.33</v>
      </c>
      <c r="Y451">
        <v>0</v>
      </c>
      <c r="Z451">
        <v>91.76</v>
      </c>
      <c r="AA451">
        <v>10.35</v>
      </c>
      <c r="AB451">
        <v>0</v>
      </c>
      <c r="AC451">
        <v>0</v>
      </c>
      <c r="AD451">
        <v>1</v>
      </c>
      <c r="AE451">
        <v>0</v>
      </c>
      <c r="AF451" t="s">
        <v>3</v>
      </c>
      <c r="AG451">
        <v>6.33</v>
      </c>
      <c r="AH451">
        <v>2</v>
      </c>
      <c r="AI451">
        <v>94802745</v>
      </c>
      <c r="AJ451">
        <v>451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 x14ac:dyDescent="0.2">
      <c r="A452">
        <f>ROW(Source!A484)</f>
        <v>484</v>
      </c>
      <c r="B452">
        <v>94802746</v>
      </c>
      <c r="C452">
        <v>94802738</v>
      </c>
      <c r="D452">
        <v>37731376</v>
      </c>
      <c r="E452">
        <v>1</v>
      </c>
      <c r="F452">
        <v>1</v>
      </c>
      <c r="G452">
        <v>1</v>
      </c>
      <c r="H452">
        <v>3</v>
      </c>
      <c r="I452" t="s">
        <v>1104</v>
      </c>
      <c r="J452" t="s">
        <v>1105</v>
      </c>
      <c r="K452" t="s">
        <v>1106</v>
      </c>
      <c r="L452">
        <v>1348</v>
      </c>
      <c r="N452">
        <v>1009</v>
      </c>
      <c r="O452" t="s">
        <v>170</v>
      </c>
      <c r="P452" t="s">
        <v>170</v>
      </c>
      <c r="Q452">
        <v>1000</v>
      </c>
      <c r="X452">
        <v>7.0000000000000001E-3</v>
      </c>
      <c r="Y452">
        <v>499.7</v>
      </c>
      <c r="Z452">
        <v>0</v>
      </c>
      <c r="AA452">
        <v>0</v>
      </c>
      <c r="AB452">
        <v>0</v>
      </c>
      <c r="AC452">
        <v>0</v>
      </c>
      <c r="AD452">
        <v>1</v>
      </c>
      <c r="AE452">
        <v>0</v>
      </c>
      <c r="AF452" t="s">
        <v>3</v>
      </c>
      <c r="AG452">
        <v>7.0000000000000001E-3</v>
      </c>
      <c r="AH452">
        <v>2</v>
      </c>
      <c r="AI452">
        <v>94802746</v>
      </c>
      <c r="AJ452">
        <v>452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 x14ac:dyDescent="0.2">
      <c r="A453">
        <f>ROW(Source!A484)</f>
        <v>484</v>
      </c>
      <c r="B453">
        <v>94802747</v>
      </c>
      <c r="C453">
        <v>94802738</v>
      </c>
      <c r="D453">
        <v>37737761</v>
      </c>
      <c r="E453">
        <v>1</v>
      </c>
      <c r="F453">
        <v>1</v>
      </c>
      <c r="G453">
        <v>1</v>
      </c>
      <c r="H453">
        <v>3</v>
      </c>
      <c r="I453" t="s">
        <v>1107</v>
      </c>
      <c r="J453" t="s">
        <v>1108</v>
      </c>
      <c r="K453" t="s">
        <v>1109</v>
      </c>
      <c r="L453">
        <v>1348</v>
      </c>
      <c r="N453">
        <v>1009</v>
      </c>
      <c r="O453" t="s">
        <v>170</v>
      </c>
      <c r="P453" t="s">
        <v>170</v>
      </c>
      <c r="Q453">
        <v>1000</v>
      </c>
      <c r="X453">
        <v>1.9E-2</v>
      </c>
      <c r="Y453">
        <v>4434.3999999999996</v>
      </c>
      <c r="Z453">
        <v>0</v>
      </c>
      <c r="AA453">
        <v>0</v>
      </c>
      <c r="AB453">
        <v>0</v>
      </c>
      <c r="AC453">
        <v>0</v>
      </c>
      <c r="AD453">
        <v>1</v>
      </c>
      <c r="AE453">
        <v>0</v>
      </c>
      <c r="AF453" t="s">
        <v>3</v>
      </c>
      <c r="AG453">
        <v>1.9E-2</v>
      </c>
      <c r="AH453">
        <v>2</v>
      </c>
      <c r="AI453">
        <v>94802747</v>
      </c>
      <c r="AJ453">
        <v>453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 x14ac:dyDescent="0.2">
      <c r="A454">
        <f>ROW(Source!A484)</f>
        <v>484</v>
      </c>
      <c r="B454">
        <v>94802748</v>
      </c>
      <c r="C454">
        <v>94802738</v>
      </c>
      <c r="D454">
        <v>37735333</v>
      </c>
      <c r="E454">
        <v>1</v>
      </c>
      <c r="F454">
        <v>1</v>
      </c>
      <c r="G454">
        <v>1</v>
      </c>
      <c r="H454">
        <v>3</v>
      </c>
      <c r="I454" t="s">
        <v>574</v>
      </c>
      <c r="J454" t="s">
        <v>576</v>
      </c>
      <c r="K454" t="s">
        <v>575</v>
      </c>
      <c r="L454">
        <v>1354</v>
      </c>
      <c r="N454">
        <v>1010</v>
      </c>
      <c r="O454" t="s">
        <v>47</v>
      </c>
      <c r="P454" t="s">
        <v>47</v>
      </c>
      <c r="Q454">
        <v>1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1</v>
      </c>
      <c r="AD454">
        <v>0</v>
      </c>
      <c r="AE454">
        <v>0</v>
      </c>
      <c r="AF454" t="s">
        <v>3</v>
      </c>
      <c r="AG454">
        <v>0</v>
      </c>
      <c r="AH454">
        <v>2</v>
      </c>
      <c r="AI454">
        <v>94802748</v>
      </c>
      <c r="AJ454">
        <v>454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 x14ac:dyDescent="0.2">
      <c r="A455">
        <f>ROW(Source!A484)</f>
        <v>484</v>
      </c>
      <c r="B455">
        <v>94802749</v>
      </c>
      <c r="C455">
        <v>94802738</v>
      </c>
      <c r="D455">
        <v>37750145</v>
      </c>
      <c r="E455">
        <v>1</v>
      </c>
      <c r="F455">
        <v>1</v>
      </c>
      <c r="G455">
        <v>1</v>
      </c>
      <c r="H455">
        <v>3</v>
      </c>
      <c r="I455" t="s">
        <v>578</v>
      </c>
      <c r="J455" t="s">
        <v>580</v>
      </c>
      <c r="K455" t="s">
        <v>579</v>
      </c>
      <c r="L455">
        <v>1348</v>
      </c>
      <c r="N455">
        <v>1009</v>
      </c>
      <c r="O455" t="s">
        <v>170</v>
      </c>
      <c r="P455" t="s">
        <v>170</v>
      </c>
      <c r="Q455">
        <v>1000</v>
      </c>
      <c r="X455">
        <v>0</v>
      </c>
      <c r="Y455">
        <v>7571</v>
      </c>
      <c r="Z455">
        <v>0</v>
      </c>
      <c r="AA455">
        <v>0</v>
      </c>
      <c r="AB455">
        <v>0</v>
      </c>
      <c r="AC455">
        <v>1</v>
      </c>
      <c r="AD455">
        <v>0</v>
      </c>
      <c r="AE455">
        <v>0</v>
      </c>
      <c r="AF455" t="s">
        <v>3</v>
      </c>
      <c r="AG455">
        <v>0</v>
      </c>
      <c r="AH455">
        <v>2</v>
      </c>
      <c r="AI455">
        <v>94802749</v>
      </c>
      <c r="AJ455">
        <v>455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 x14ac:dyDescent="0.2">
      <c r="A456">
        <f>ROW(Source!A484)</f>
        <v>484</v>
      </c>
      <c r="B456">
        <v>94802750</v>
      </c>
      <c r="C456">
        <v>94802738</v>
      </c>
      <c r="D456">
        <v>37767813</v>
      </c>
      <c r="E456">
        <v>1</v>
      </c>
      <c r="F456">
        <v>1</v>
      </c>
      <c r="G456">
        <v>1</v>
      </c>
      <c r="H456">
        <v>3</v>
      </c>
      <c r="I456" t="s">
        <v>1110</v>
      </c>
      <c r="J456" t="s">
        <v>1111</v>
      </c>
      <c r="K456" t="s">
        <v>1112</v>
      </c>
      <c r="L456">
        <v>1339</v>
      </c>
      <c r="N456">
        <v>1007</v>
      </c>
      <c r="O456" t="s">
        <v>52</v>
      </c>
      <c r="P456" t="s">
        <v>52</v>
      </c>
      <c r="Q456">
        <v>1</v>
      </c>
      <c r="X456">
        <v>5.2</v>
      </c>
      <c r="Y456">
        <v>616</v>
      </c>
      <c r="Z456">
        <v>0</v>
      </c>
      <c r="AA456">
        <v>0</v>
      </c>
      <c r="AB456">
        <v>0</v>
      </c>
      <c r="AC456">
        <v>0</v>
      </c>
      <c r="AD456">
        <v>1</v>
      </c>
      <c r="AE456">
        <v>0</v>
      </c>
      <c r="AF456" t="s">
        <v>3</v>
      </c>
      <c r="AG456">
        <v>5.2</v>
      </c>
      <c r="AH456">
        <v>2</v>
      </c>
      <c r="AI456">
        <v>94802750</v>
      </c>
      <c r="AJ456">
        <v>456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 x14ac:dyDescent="0.2">
      <c r="A457">
        <f>ROW(Source!A484)</f>
        <v>484</v>
      </c>
      <c r="B457">
        <v>94802751</v>
      </c>
      <c r="C457">
        <v>94802738</v>
      </c>
      <c r="D457">
        <v>37768002</v>
      </c>
      <c r="E457">
        <v>1</v>
      </c>
      <c r="F457">
        <v>1</v>
      </c>
      <c r="G457">
        <v>1</v>
      </c>
      <c r="H457">
        <v>3</v>
      </c>
      <c r="I457" t="s">
        <v>748</v>
      </c>
      <c r="J457" t="s">
        <v>749</v>
      </c>
      <c r="K457" t="s">
        <v>750</v>
      </c>
      <c r="L457">
        <v>1339</v>
      </c>
      <c r="N457">
        <v>1007</v>
      </c>
      <c r="O457" t="s">
        <v>52</v>
      </c>
      <c r="P457" t="s">
        <v>52</v>
      </c>
      <c r="Q457">
        <v>1</v>
      </c>
      <c r="X457">
        <v>0.82</v>
      </c>
      <c r="Y457">
        <v>389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0</v>
      </c>
      <c r="AF457" t="s">
        <v>3</v>
      </c>
      <c r="AG457">
        <v>0.82</v>
      </c>
      <c r="AH457">
        <v>2</v>
      </c>
      <c r="AI457">
        <v>94802751</v>
      </c>
      <c r="AJ457">
        <v>457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 x14ac:dyDescent="0.2">
      <c r="A458">
        <f>ROW(Source!A484)</f>
        <v>484</v>
      </c>
      <c r="B458">
        <v>94802752</v>
      </c>
      <c r="C458">
        <v>94802738</v>
      </c>
      <c r="D458">
        <v>37768087</v>
      </c>
      <c r="E458">
        <v>1</v>
      </c>
      <c r="F458">
        <v>1</v>
      </c>
      <c r="G458">
        <v>1</v>
      </c>
      <c r="H458">
        <v>3</v>
      </c>
      <c r="I458" t="s">
        <v>1113</v>
      </c>
      <c r="J458" t="s">
        <v>1114</v>
      </c>
      <c r="K458" t="s">
        <v>1115</v>
      </c>
      <c r="L458">
        <v>1339</v>
      </c>
      <c r="N458">
        <v>1007</v>
      </c>
      <c r="O458" t="s">
        <v>52</v>
      </c>
      <c r="P458" t="s">
        <v>52</v>
      </c>
      <c r="Q458">
        <v>1</v>
      </c>
      <c r="X458">
        <v>0.12</v>
      </c>
      <c r="Y458">
        <v>400.92</v>
      </c>
      <c r="Z458">
        <v>0</v>
      </c>
      <c r="AA458">
        <v>0</v>
      </c>
      <c r="AB458">
        <v>0</v>
      </c>
      <c r="AC458">
        <v>0</v>
      </c>
      <c r="AD458">
        <v>1</v>
      </c>
      <c r="AE458">
        <v>0</v>
      </c>
      <c r="AF458" t="s">
        <v>3</v>
      </c>
      <c r="AG458">
        <v>0.12</v>
      </c>
      <c r="AH458">
        <v>2</v>
      </c>
      <c r="AI458">
        <v>94802752</v>
      </c>
      <c r="AJ458">
        <v>458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 x14ac:dyDescent="0.2">
      <c r="A459">
        <f>ROW(Source!A484)</f>
        <v>484</v>
      </c>
      <c r="B459">
        <v>94802753</v>
      </c>
      <c r="C459">
        <v>94802738</v>
      </c>
      <c r="D459">
        <v>37770741</v>
      </c>
      <c r="E459">
        <v>1</v>
      </c>
      <c r="F459">
        <v>1</v>
      </c>
      <c r="G459">
        <v>1</v>
      </c>
      <c r="H459">
        <v>3</v>
      </c>
      <c r="I459" t="s">
        <v>1116</v>
      </c>
      <c r="J459" t="s">
        <v>1117</v>
      </c>
      <c r="K459" t="s">
        <v>1118</v>
      </c>
      <c r="L459">
        <v>1301</v>
      </c>
      <c r="N459">
        <v>1003</v>
      </c>
      <c r="O459" t="s">
        <v>368</v>
      </c>
      <c r="P459" t="s">
        <v>368</v>
      </c>
      <c r="Q459">
        <v>1</v>
      </c>
      <c r="X459">
        <v>6.88</v>
      </c>
      <c r="Y459">
        <v>818.57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0</v>
      </c>
      <c r="AF459" t="s">
        <v>3</v>
      </c>
      <c r="AG459">
        <v>6.88</v>
      </c>
      <c r="AH459">
        <v>2</v>
      </c>
      <c r="AI459">
        <v>94802753</v>
      </c>
      <c r="AJ459">
        <v>459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 x14ac:dyDescent="0.2">
      <c r="A460">
        <f>ROW(Source!A484)</f>
        <v>484</v>
      </c>
      <c r="B460">
        <v>94802754</v>
      </c>
      <c r="C460">
        <v>94802738</v>
      </c>
      <c r="D460">
        <v>37775160</v>
      </c>
      <c r="E460">
        <v>1</v>
      </c>
      <c r="F460">
        <v>1</v>
      </c>
      <c r="G460">
        <v>1</v>
      </c>
      <c r="H460">
        <v>3</v>
      </c>
      <c r="I460" t="s">
        <v>1119</v>
      </c>
      <c r="J460" t="s">
        <v>1120</v>
      </c>
      <c r="K460" t="s">
        <v>1121</v>
      </c>
      <c r="L460">
        <v>1339</v>
      </c>
      <c r="N460">
        <v>1007</v>
      </c>
      <c r="O460" t="s">
        <v>52</v>
      </c>
      <c r="P460" t="s">
        <v>52</v>
      </c>
      <c r="Q460">
        <v>1</v>
      </c>
      <c r="X460">
        <v>2.06</v>
      </c>
      <c r="Y460">
        <v>1571</v>
      </c>
      <c r="Z460">
        <v>0</v>
      </c>
      <c r="AA460">
        <v>0</v>
      </c>
      <c r="AB460">
        <v>0</v>
      </c>
      <c r="AC460">
        <v>0</v>
      </c>
      <c r="AD460">
        <v>1</v>
      </c>
      <c r="AE460">
        <v>0</v>
      </c>
      <c r="AF460" t="s">
        <v>3</v>
      </c>
      <c r="AG460">
        <v>2.06</v>
      </c>
      <c r="AH460">
        <v>2</v>
      </c>
      <c r="AI460">
        <v>94802754</v>
      </c>
      <c r="AJ460">
        <v>460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 x14ac:dyDescent="0.2">
      <c r="A461">
        <f>ROW(Source!A484)</f>
        <v>484</v>
      </c>
      <c r="B461">
        <v>94802755</v>
      </c>
      <c r="C461">
        <v>94802738</v>
      </c>
      <c r="D461">
        <v>37777376</v>
      </c>
      <c r="E461">
        <v>1</v>
      </c>
      <c r="F461">
        <v>1</v>
      </c>
      <c r="G461">
        <v>1</v>
      </c>
      <c r="H461">
        <v>3</v>
      </c>
      <c r="I461" t="s">
        <v>564</v>
      </c>
      <c r="J461" t="s">
        <v>566</v>
      </c>
      <c r="K461" t="s">
        <v>565</v>
      </c>
      <c r="L461">
        <v>1339</v>
      </c>
      <c r="N461">
        <v>1007</v>
      </c>
      <c r="O461" t="s">
        <v>52</v>
      </c>
      <c r="P461" t="s">
        <v>52</v>
      </c>
      <c r="Q461">
        <v>1</v>
      </c>
      <c r="X461">
        <v>1.45</v>
      </c>
      <c r="Y461">
        <v>65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0</v>
      </c>
      <c r="AF461" t="s">
        <v>3</v>
      </c>
      <c r="AG461">
        <v>1.45</v>
      </c>
      <c r="AH461">
        <v>2</v>
      </c>
      <c r="AI461">
        <v>94802755</v>
      </c>
      <c r="AJ461">
        <v>461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 x14ac:dyDescent="0.2">
      <c r="A462">
        <f>ROW(Source!A489)</f>
        <v>489</v>
      </c>
      <c r="B462">
        <v>94803392</v>
      </c>
      <c r="C462">
        <v>94803391</v>
      </c>
      <c r="D462">
        <v>23134434</v>
      </c>
      <c r="E462">
        <v>1</v>
      </c>
      <c r="F462">
        <v>1</v>
      </c>
      <c r="G462">
        <v>1</v>
      </c>
      <c r="H462">
        <v>1</v>
      </c>
      <c r="I462" t="s">
        <v>1122</v>
      </c>
      <c r="J462" t="s">
        <v>3</v>
      </c>
      <c r="K462" t="s">
        <v>1123</v>
      </c>
      <c r="L462">
        <v>1369</v>
      </c>
      <c r="N462">
        <v>1013</v>
      </c>
      <c r="O462" t="s">
        <v>696</v>
      </c>
      <c r="P462" t="s">
        <v>696</v>
      </c>
      <c r="Q462">
        <v>1</v>
      </c>
      <c r="X462">
        <v>22.5</v>
      </c>
      <c r="Y462">
        <v>0</v>
      </c>
      <c r="Z462">
        <v>0</v>
      </c>
      <c r="AA462">
        <v>0</v>
      </c>
      <c r="AB462">
        <v>7.84</v>
      </c>
      <c r="AC462">
        <v>0</v>
      </c>
      <c r="AD462">
        <v>1</v>
      </c>
      <c r="AE462">
        <v>1</v>
      </c>
      <c r="AF462" t="s">
        <v>3</v>
      </c>
      <c r="AG462">
        <v>22.5</v>
      </c>
      <c r="AH462">
        <v>2</v>
      </c>
      <c r="AI462">
        <v>94803392</v>
      </c>
      <c r="AJ462">
        <v>462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 x14ac:dyDescent="0.2">
      <c r="A463">
        <f>ROW(Source!A489)</f>
        <v>489</v>
      </c>
      <c r="B463">
        <v>94803393</v>
      </c>
      <c r="C463">
        <v>94803391</v>
      </c>
      <c r="D463">
        <v>37804065</v>
      </c>
      <c r="E463">
        <v>1</v>
      </c>
      <c r="F463">
        <v>1</v>
      </c>
      <c r="G463">
        <v>1</v>
      </c>
      <c r="H463">
        <v>2</v>
      </c>
      <c r="I463" t="s">
        <v>797</v>
      </c>
      <c r="J463" t="s">
        <v>798</v>
      </c>
      <c r="K463" t="s">
        <v>799</v>
      </c>
      <c r="L463">
        <v>1368</v>
      </c>
      <c r="N463">
        <v>1011</v>
      </c>
      <c r="O463" t="s">
        <v>700</v>
      </c>
      <c r="P463" t="s">
        <v>700</v>
      </c>
      <c r="Q463">
        <v>1</v>
      </c>
      <c r="X463">
        <v>0.23</v>
      </c>
      <c r="Y463">
        <v>0</v>
      </c>
      <c r="Z463">
        <v>2.15</v>
      </c>
      <c r="AA463">
        <v>0</v>
      </c>
      <c r="AB463">
        <v>0</v>
      </c>
      <c r="AC463">
        <v>0</v>
      </c>
      <c r="AD463">
        <v>1</v>
      </c>
      <c r="AE463">
        <v>0</v>
      </c>
      <c r="AF463" t="s">
        <v>3</v>
      </c>
      <c r="AG463">
        <v>0.23</v>
      </c>
      <c r="AH463">
        <v>2</v>
      </c>
      <c r="AI463">
        <v>94803393</v>
      </c>
      <c r="AJ463">
        <v>463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 x14ac:dyDescent="0.2">
      <c r="A464">
        <f>ROW(Source!A489)</f>
        <v>489</v>
      </c>
      <c r="B464">
        <v>94803394</v>
      </c>
      <c r="C464">
        <v>94803391</v>
      </c>
      <c r="D464">
        <v>37804153</v>
      </c>
      <c r="E464">
        <v>1</v>
      </c>
      <c r="F464">
        <v>1</v>
      </c>
      <c r="G464">
        <v>1</v>
      </c>
      <c r="H464">
        <v>2</v>
      </c>
      <c r="I464" t="s">
        <v>697</v>
      </c>
      <c r="J464" t="s">
        <v>698</v>
      </c>
      <c r="K464" t="s">
        <v>699</v>
      </c>
      <c r="L464">
        <v>1368</v>
      </c>
      <c r="N464">
        <v>1011</v>
      </c>
      <c r="O464" t="s">
        <v>700</v>
      </c>
      <c r="P464" t="s">
        <v>700</v>
      </c>
      <c r="Q464">
        <v>1</v>
      </c>
      <c r="X464">
        <v>0.33</v>
      </c>
      <c r="Y464">
        <v>0</v>
      </c>
      <c r="Z464">
        <v>5.63</v>
      </c>
      <c r="AA464">
        <v>0</v>
      </c>
      <c r="AB464">
        <v>0</v>
      </c>
      <c r="AC464">
        <v>0</v>
      </c>
      <c r="AD464">
        <v>1</v>
      </c>
      <c r="AE464">
        <v>0</v>
      </c>
      <c r="AF464" t="s">
        <v>3</v>
      </c>
      <c r="AG464">
        <v>0.33</v>
      </c>
      <c r="AH464">
        <v>2</v>
      </c>
      <c r="AI464">
        <v>94803394</v>
      </c>
      <c r="AJ464">
        <v>464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 x14ac:dyDescent="0.2">
      <c r="A465">
        <f>ROW(Source!A489)</f>
        <v>489</v>
      </c>
      <c r="B465">
        <v>94803395</v>
      </c>
      <c r="C465">
        <v>94803391</v>
      </c>
      <c r="D465">
        <v>37804456</v>
      </c>
      <c r="E465">
        <v>1</v>
      </c>
      <c r="F465">
        <v>1</v>
      </c>
      <c r="G465">
        <v>1</v>
      </c>
      <c r="H465">
        <v>2</v>
      </c>
      <c r="I465" t="s">
        <v>713</v>
      </c>
      <c r="J465" t="s">
        <v>714</v>
      </c>
      <c r="K465" t="s">
        <v>715</v>
      </c>
      <c r="L465">
        <v>1368</v>
      </c>
      <c r="N465">
        <v>1011</v>
      </c>
      <c r="O465" t="s">
        <v>700</v>
      </c>
      <c r="P465" t="s">
        <v>700</v>
      </c>
      <c r="Q465">
        <v>1</v>
      </c>
      <c r="X465">
        <v>0.36</v>
      </c>
      <c r="Y465">
        <v>0</v>
      </c>
      <c r="Z465">
        <v>91.76</v>
      </c>
      <c r="AA465">
        <v>10.35</v>
      </c>
      <c r="AB465">
        <v>0</v>
      </c>
      <c r="AC465">
        <v>0</v>
      </c>
      <c r="AD465">
        <v>1</v>
      </c>
      <c r="AE465">
        <v>0</v>
      </c>
      <c r="AF465" t="s">
        <v>3</v>
      </c>
      <c r="AG465">
        <v>0.36</v>
      </c>
      <c r="AH465">
        <v>2</v>
      </c>
      <c r="AI465">
        <v>94803395</v>
      </c>
      <c r="AJ465">
        <v>465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 x14ac:dyDescent="0.2">
      <c r="A466">
        <f>ROW(Source!A489)</f>
        <v>489</v>
      </c>
      <c r="B466">
        <v>94803396</v>
      </c>
      <c r="C466">
        <v>94803391</v>
      </c>
      <c r="D466">
        <v>37735406</v>
      </c>
      <c r="E466">
        <v>1</v>
      </c>
      <c r="F466">
        <v>1</v>
      </c>
      <c r="G466">
        <v>1</v>
      </c>
      <c r="H466">
        <v>3</v>
      </c>
      <c r="I466" t="s">
        <v>1124</v>
      </c>
      <c r="J466" t="s">
        <v>1125</v>
      </c>
      <c r="K466" t="s">
        <v>1126</v>
      </c>
      <c r="L466">
        <v>1348</v>
      </c>
      <c r="N466">
        <v>1009</v>
      </c>
      <c r="O466" t="s">
        <v>170</v>
      </c>
      <c r="P466" t="s">
        <v>170</v>
      </c>
      <c r="Q466">
        <v>1000</v>
      </c>
      <c r="X466">
        <v>3.0999999999999999E-3</v>
      </c>
      <c r="Y466">
        <v>5989</v>
      </c>
      <c r="Z466">
        <v>0</v>
      </c>
      <c r="AA466">
        <v>0</v>
      </c>
      <c r="AB466">
        <v>0</v>
      </c>
      <c r="AC466">
        <v>0</v>
      </c>
      <c r="AD466">
        <v>1</v>
      </c>
      <c r="AE466">
        <v>0</v>
      </c>
      <c r="AF466" t="s">
        <v>3</v>
      </c>
      <c r="AG466">
        <v>3.0999999999999999E-3</v>
      </c>
      <c r="AH466">
        <v>2</v>
      </c>
      <c r="AI466">
        <v>94803396</v>
      </c>
      <c r="AJ466">
        <v>466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 x14ac:dyDescent="0.2">
      <c r="A467">
        <f>ROW(Source!A489)</f>
        <v>489</v>
      </c>
      <c r="B467">
        <v>94803397</v>
      </c>
      <c r="C467">
        <v>94803391</v>
      </c>
      <c r="D467">
        <v>37734130</v>
      </c>
      <c r="E467">
        <v>1</v>
      </c>
      <c r="F467">
        <v>1</v>
      </c>
      <c r="G467">
        <v>1</v>
      </c>
      <c r="H467">
        <v>3</v>
      </c>
      <c r="I467" t="s">
        <v>1127</v>
      </c>
      <c r="J467" t="s">
        <v>1128</v>
      </c>
      <c r="K467" t="s">
        <v>1129</v>
      </c>
      <c r="L467">
        <v>1348</v>
      </c>
      <c r="N467">
        <v>1009</v>
      </c>
      <c r="O467" t="s">
        <v>170</v>
      </c>
      <c r="P467" t="s">
        <v>170</v>
      </c>
      <c r="Q467">
        <v>1000</v>
      </c>
      <c r="X467">
        <v>2.5799999999999998E-3</v>
      </c>
      <c r="Y467">
        <v>1695</v>
      </c>
      <c r="Z467">
        <v>0</v>
      </c>
      <c r="AA467">
        <v>0</v>
      </c>
      <c r="AB467">
        <v>0</v>
      </c>
      <c r="AC467">
        <v>0</v>
      </c>
      <c r="AD467">
        <v>1</v>
      </c>
      <c r="AE467">
        <v>0</v>
      </c>
      <c r="AF467" t="s">
        <v>3</v>
      </c>
      <c r="AG467">
        <v>2.5799999999999998E-3</v>
      </c>
      <c r="AH467">
        <v>2</v>
      </c>
      <c r="AI467">
        <v>94803397</v>
      </c>
      <c r="AJ467">
        <v>467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 x14ac:dyDescent="0.2">
      <c r="A468">
        <f>ROW(Source!A489)</f>
        <v>489</v>
      </c>
      <c r="B468">
        <v>94803398</v>
      </c>
      <c r="C468">
        <v>94803391</v>
      </c>
      <c r="D468">
        <v>37736859</v>
      </c>
      <c r="E468">
        <v>1</v>
      </c>
      <c r="F468">
        <v>1</v>
      </c>
      <c r="G468">
        <v>1</v>
      </c>
      <c r="H468">
        <v>3</v>
      </c>
      <c r="I468" t="s">
        <v>252</v>
      </c>
      <c r="J468" t="s">
        <v>254</v>
      </c>
      <c r="K468" t="s">
        <v>253</v>
      </c>
      <c r="L468">
        <v>1348</v>
      </c>
      <c r="N468">
        <v>1009</v>
      </c>
      <c r="O468" t="s">
        <v>170</v>
      </c>
      <c r="P468" t="s">
        <v>170</v>
      </c>
      <c r="Q468">
        <v>1000</v>
      </c>
      <c r="X468">
        <v>7.4999999999999997E-3</v>
      </c>
      <c r="Y468">
        <v>9040.01</v>
      </c>
      <c r="Z468">
        <v>0</v>
      </c>
      <c r="AA468">
        <v>0</v>
      </c>
      <c r="AB468">
        <v>0</v>
      </c>
      <c r="AC468">
        <v>0</v>
      </c>
      <c r="AD468">
        <v>1</v>
      </c>
      <c r="AE468">
        <v>0</v>
      </c>
      <c r="AF468" t="s">
        <v>3</v>
      </c>
      <c r="AG468">
        <v>7.4999999999999997E-3</v>
      </c>
      <c r="AH468">
        <v>2</v>
      </c>
      <c r="AI468">
        <v>94803398</v>
      </c>
      <c r="AJ468">
        <v>468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 x14ac:dyDescent="0.2">
      <c r="A469">
        <f>ROW(Source!A489)</f>
        <v>489</v>
      </c>
      <c r="B469">
        <v>94803399</v>
      </c>
      <c r="C469">
        <v>94803391</v>
      </c>
      <c r="D469">
        <v>37731351</v>
      </c>
      <c r="E469">
        <v>1</v>
      </c>
      <c r="F469">
        <v>1</v>
      </c>
      <c r="G469">
        <v>1</v>
      </c>
      <c r="H469">
        <v>3</v>
      </c>
      <c r="I469" t="s">
        <v>1130</v>
      </c>
      <c r="J469" t="s">
        <v>1131</v>
      </c>
      <c r="K469" t="s">
        <v>1132</v>
      </c>
      <c r="L469">
        <v>1327</v>
      </c>
      <c r="N469">
        <v>1005</v>
      </c>
      <c r="O469" t="s">
        <v>201</v>
      </c>
      <c r="P469" t="s">
        <v>201</v>
      </c>
      <c r="Q469">
        <v>1</v>
      </c>
      <c r="X469">
        <v>1.45</v>
      </c>
      <c r="Y469">
        <v>5.82</v>
      </c>
      <c r="Z469">
        <v>0</v>
      </c>
      <c r="AA469">
        <v>0</v>
      </c>
      <c r="AB469">
        <v>0</v>
      </c>
      <c r="AC469">
        <v>0</v>
      </c>
      <c r="AD469">
        <v>1</v>
      </c>
      <c r="AE469">
        <v>0</v>
      </c>
      <c r="AF469" t="s">
        <v>3</v>
      </c>
      <c r="AG469">
        <v>1.45</v>
      </c>
      <c r="AH469">
        <v>2</v>
      </c>
      <c r="AI469">
        <v>94803399</v>
      </c>
      <c r="AJ469">
        <v>469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 x14ac:dyDescent="0.2">
      <c r="A470">
        <f>ROW(Source!A489)</f>
        <v>489</v>
      </c>
      <c r="B470">
        <v>94803400</v>
      </c>
      <c r="C470">
        <v>94803391</v>
      </c>
      <c r="D470">
        <v>37736933</v>
      </c>
      <c r="E470">
        <v>1</v>
      </c>
      <c r="F470">
        <v>1</v>
      </c>
      <c r="G470">
        <v>1</v>
      </c>
      <c r="H470">
        <v>3</v>
      </c>
      <c r="I470" t="s">
        <v>851</v>
      </c>
      <c r="J470" t="s">
        <v>852</v>
      </c>
      <c r="K470" t="s">
        <v>853</v>
      </c>
      <c r="L470">
        <v>1348</v>
      </c>
      <c r="N470">
        <v>1009</v>
      </c>
      <c r="O470" t="s">
        <v>170</v>
      </c>
      <c r="P470" t="s">
        <v>170</v>
      </c>
      <c r="Q470">
        <v>1000</v>
      </c>
      <c r="X470">
        <v>3.0000000000000001E-3</v>
      </c>
      <c r="Y470">
        <v>12936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3</v>
      </c>
      <c r="AG470">
        <v>3.0000000000000001E-3</v>
      </c>
      <c r="AH470">
        <v>2</v>
      </c>
      <c r="AI470">
        <v>94803400</v>
      </c>
      <c r="AJ470">
        <v>470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 x14ac:dyDescent="0.2">
      <c r="A471">
        <f>ROW(Source!A489)</f>
        <v>489</v>
      </c>
      <c r="B471">
        <v>94803401</v>
      </c>
      <c r="C471">
        <v>94803391</v>
      </c>
      <c r="D471">
        <v>37738052</v>
      </c>
      <c r="E471">
        <v>1</v>
      </c>
      <c r="F471">
        <v>1</v>
      </c>
      <c r="G471">
        <v>1</v>
      </c>
      <c r="H471">
        <v>3</v>
      </c>
      <c r="I471" t="s">
        <v>1133</v>
      </c>
      <c r="J471" t="s">
        <v>1134</v>
      </c>
      <c r="K471" t="s">
        <v>1135</v>
      </c>
      <c r="L471">
        <v>1339</v>
      </c>
      <c r="N471">
        <v>1007</v>
      </c>
      <c r="O471" t="s">
        <v>52</v>
      </c>
      <c r="P471" t="s">
        <v>52</v>
      </c>
      <c r="Q471">
        <v>1</v>
      </c>
      <c r="X471">
        <v>0.93</v>
      </c>
      <c r="Y471">
        <v>1656</v>
      </c>
      <c r="Z471">
        <v>0</v>
      </c>
      <c r="AA471">
        <v>0</v>
      </c>
      <c r="AB471">
        <v>0</v>
      </c>
      <c r="AC471">
        <v>0</v>
      </c>
      <c r="AD471">
        <v>1</v>
      </c>
      <c r="AE471">
        <v>0</v>
      </c>
      <c r="AF471" t="s">
        <v>3</v>
      </c>
      <c r="AG471">
        <v>0.93</v>
      </c>
      <c r="AH471">
        <v>2</v>
      </c>
      <c r="AI471">
        <v>94803401</v>
      </c>
      <c r="AJ471">
        <v>471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 x14ac:dyDescent="0.2">
      <c r="A472">
        <f>ROW(Source!A489)</f>
        <v>489</v>
      </c>
      <c r="B472">
        <v>94803402</v>
      </c>
      <c r="C472">
        <v>94803391</v>
      </c>
      <c r="D472">
        <v>37738212</v>
      </c>
      <c r="E472">
        <v>1</v>
      </c>
      <c r="F472">
        <v>1</v>
      </c>
      <c r="G472">
        <v>1</v>
      </c>
      <c r="H472">
        <v>3</v>
      </c>
      <c r="I472" t="s">
        <v>1136</v>
      </c>
      <c r="J472" t="s">
        <v>1137</v>
      </c>
      <c r="K472" t="s">
        <v>1138</v>
      </c>
      <c r="L472">
        <v>1339</v>
      </c>
      <c r="N472">
        <v>1007</v>
      </c>
      <c r="O472" t="s">
        <v>52</v>
      </c>
      <c r="P472" t="s">
        <v>52</v>
      </c>
      <c r="Q472">
        <v>1</v>
      </c>
      <c r="X472">
        <v>0.12</v>
      </c>
      <c r="Y472">
        <v>1104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0</v>
      </c>
      <c r="AF472" t="s">
        <v>3</v>
      </c>
      <c r="AG472">
        <v>0.12</v>
      </c>
      <c r="AH472">
        <v>2</v>
      </c>
      <c r="AI472">
        <v>94803402</v>
      </c>
      <c r="AJ472">
        <v>472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 x14ac:dyDescent="0.2">
      <c r="A473">
        <f>ROW(Source!A489)</f>
        <v>489</v>
      </c>
      <c r="B473">
        <v>94803403</v>
      </c>
      <c r="C473">
        <v>94803391</v>
      </c>
      <c r="D473">
        <v>37738130</v>
      </c>
      <c r="E473">
        <v>1</v>
      </c>
      <c r="F473">
        <v>1</v>
      </c>
      <c r="G473">
        <v>1</v>
      </c>
      <c r="H473">
        <v>3</v>
      </c>
      <c r="I473" t="s">
        <v>1139</v>
      </c>
      <c r="J473" t="s">
        <v>1140</v>
      </c>
      <c r="K473" t="s">
        <v>1141</v>
      </c>
      <c r="L473">
        <v>1339</v>
      </c>
      <c r="N473">
        <v>1007</v>
      </c>
      <c r="O473" t="s">
        <v>52</v>
      </c>
      <c r="P473" t="s">
        <v>52</v>
      </c>
      <c r="Q473">
        <v>1</v>
      </c>
      <c r="X473">
        <v>0.01</v>
      </c>
      <c r="Y473">
        <v>802.21</v>
      </c>
      <c r="Z473">
        <v>0</v>
      </c>
      <c r="AA473">
        <v>0</v>
      </c>
      <c r="AB473">
        <v>0</v>
      </c>
      <c r="AC473">
        <v>0</v>
      </c>
      <c r="AD473">
        <v>1</v>
      </c>
      <c r="AE473">
        <v>0</v>
      </c>
      <c r="AF473" t="s">
        <v>3</v>
      </c>
      <c r="AG473">
        <v>0.01</v>
      </c>
      <c r="AH473">
        <v>2</v>
      </c>
      <c r="AI473">
        <v>94803403</v>
      </c>
      <c r="AJ473">
        <v>473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 x14ac:dyDescent="0.2">
      <c r="A474">
        <f>ROW(Source!A489)</f>
        <v>489</v>
      </c>
      <c r="B474">
        <v>94803404</v>
      </c>
      <c r="C474">
        <v>94803391</v>
      </c>
      <c r="D474">
        <v>37745298</v>
      </c>
      <c r="E474">
        <v>1</v>
      </c>
      <c r="F474">
        <v>1</v>
      </c>
      <c r="G474">
        <v>1</v>
      </c>
      <c r="H474">
        <v>3</v>
      </c>
      <c r="I474" t="s">
        <v>1142</v>
      </c>
      <c r="J474" t="s">
        <v>1143</v>
      </c>
      <c r="K474" t="s">
        <v>1144</v>
      </c>
      <c r="L474">
        <v>1348</v>
      </c>
      <c r="N474">
        <v>1009</v>
      </c>
      <c r="O474" t="s">
        <v>170</v>
      </c>
      <c r="P474" t="s">
        <v>170</v>
      </c>
      <c r="Q474">
        <v>1000</v>
      </c>
      <c r="X474">
        <v>3.0100000000000001E-3</v>
      </c>
      <c r="Y474">
        <v>15255</v>
      </c>
      <c r="Z474">
        <v>0</v>
      </c>
      <c r="AA474">
        <v>0</v>
      </c>
      <c r="AB474">
        <v>0</v>
      </c>
      <c r="AC474">
        <v>0</v>
      </c>
      <c r="AD474">
        <v>1</v>
      </c>
      <c r="AE474">
        <v>0</v>
      </c>
      <c r="AF474" t="s">
        <v>3</v>
      </c>
      <c r="AG474">
        <v>3.0100000000000001E-3</v>
      </c>
      <c r="AH474">
        <v>2</v>
      </c>
      <c r="AI474">
        <v>94803404</v>
      </c>
      <c r="AJ474">
        <v>474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 x14ac:dyDescent="0.2">
      <c r="A475">
        <f>ROW(Source!A490)</f>
        <v>490</v>
      </c>
      <c r="B475">
        <v>94803406</v>
      </c>
      <c r="C475">
        <v>94803405</v>
      </c>
      <c r="D475">
        <v>23134047</v>
      </c>
      <c r="E475">
        <v>1</v>
      </c>
      <c r="F475">
        <v>1</v>
      </c>
      <c r="G475">
        <v>1</v>
      </c>
      <c r="H475">
        <v>1</v>
      </c>
      <c r="I475" t="s">
        <v>1145</v>
      </c>
      <c r="J475" t="s">
        <v>3</v>
      </c>
      <c r="K475" t="s">
        <v>1146</v>
      </c>
      <c r="L475">
        <v>1369</v>
      </c>
      <c r="N475">
        <v>1013</v>
      </c>
      <c r="O475" t="s">
        <v>696</v>
      </c>
      <c r="P475" t="s">
        <v>696</v>
      </c>
      <c r="Q475">
        <v>1</v>
      </c>
      <c r="X475">
        <v>36.299999999999997</v>
      </c>
      <c r="Y475">
        <v>0</v>
      </c>
      <c r="Z475">
        <v>0</v>
      </c>
      <c r="AA475">
        <v>0</v>
      </c>
      <c r="AB475">
        <v>8.07</v>
      </c>
      <c r="AC475">
        <v>0</v>
      </c>
      <c r="AD475">
        <v>1</v>
      </c>
      <c r="AE475">
        <v>1</v>
      </c>
      <c r="AF475" t="s">
        <v>3</v>
      </c>
      <c r="AG475">
        <v>36.299999999999997</v>
      </c>
      <c r="AH475">
        <v>2</v>
      </c>
      <c r="AI475">
        <v>94803406</v>
      </c>
      <c r="AJ475">
        <v>475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 x14ac:dyDescent="0.2">
      <c r="A476">
        <f>ROW(Source!A490)</f>
        <v>490</v>
      </c>
      <c r="B476">
        <v>94803407</v>
      </c>
      <c r="C476">
        <v>94803405</v>
      </c>
      <c r="D476">
        <v>37804145</v>
      </c>
      <c r="E476">
        <v>1</v>
      </c>
      <c r="F476">
        <v>1</v>
      </c>
      <c r="G476">
        <v>1</v>
      </c>
      <c r="H476">
        <v>2</v>
      </c>
      <c r="I476" t="s">
        <v>1147</v>
      </c>
      <c r="J476" t="s">
        <v>1148</v>
      </c>
      <c r="K476" t="s">
        <v>1149</v>
      </c>
      <c r="L476">
        <v>1368</v>
      </c>
      <c r="N476">
        <v>1011</v>
      </c>
      <c r="O476" t="s">
        <v>700</v>
      </c>
      <c r="P476" t="s">
        <v>700</v>
      </c>
      <c r="Q476">
        <v>1</v>
      </c>
      <c r="X476">
        <v>0.36</v>
      </c>
      <c r="Y476">
        <v>0</v>
      </c>
      <c r="Z476">
        <v>0.96</v>
      </c>
      <c r="AA476">
        <v>0</v>
      </c>
      <c r="AB476">
        <v>0</v>
      </c>
      <c r="AC476">
        <v>0</v>
      </c>
      <c r="AD476">
        <v>1</v>
      </c>
      <c r="AE476">
        <v>0</v>
      </c>
      <c r="AF476" t="s">
        <v>3</v>
      </c>
      <c r="AG476">
        <v>0.36</v>
      </c>
      <c r="AH476">
        <v>2</v>
      </c>
      <c r="AI476">
        <v>94803407</v>
      </c>
      <c r="AJ476">
        <v>476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 x14ac:dyDescent="0.2">
      <c r="A477">
        <f>ROW(Source!A490)</f>
        <v>490</v>
      </c>
      <c r="B477">
        <v>94803408</v>
      </c>
      <c r="C477">
        <v>94803405</v>
      </c>
      <c r="D477">
        <v>37804456</v>
      </c>
      <c r="E477">
        <v>1</v>
      </c>
      <c r="F477">
        <v>1</v>
      </c>
      <c r="G477">
        <v>1</v>
      </c>
      <c r="H477">
        <v>2</v>
      </c>
      <c r="I477" t="s">
        <v>713</v>
      </c>
      <c r="J477" t="s">
        <v>714</v>
      </c>
      <c r="K477" t="s">
        <v>715</v>
      </c>
      <c r="L477">
        <v>1368</v>
      </c>
      <c r="N477">
        <v>1011</v>
      </c>
      <c r="O477" t="s">
        <v>700</v>
      </c>
      <c r="P477" t="s">
        <v>700</v>
      </c>
      <c r="Q477">
        <v>1</v>
      </c>
      <c r="X477">
        <v>0.56000000000000005</v>
      </c>
      <c r="Y477">
        <v>0</v>
      </c>
      <c r="Z477">
        <v>91.76</v>
      </c>
      <c r="AA477">
        <v>10.35</v>
      </c>
      <c r="AB477">
        <v>0</v>
      </c>
      <c r="AC477">
        <v>0</v>
      </c>
      <c r="AD477">
        <v>1</v>
      </c>
      <c r="AE477">
        <v>0</v>
      </c>
      <c r="AF477" t="s">
        <v>3</v>
      </c>
      <c r="AG477">
        <v>0.56000000000000005</v>
      </c>
      <c r="AH477">
        <v>2</v>
      </c>
      <c r="AI477">
        <v>94803408</v>
      </c>
      <c r="AJ477">
        <v>477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 x14ac:dyDescent="0.2">
      <c r="A478">
        <f>ROW(Source!A490)</f>
        <v>490</v>
      </c>
      <c r="B478">
        <v>94803409</v>
      </c>
      <c r="C478">
        <v>94803405</v>
      </c>
      <c r="D478">
        <v>37736939</v>
      </c>
      <c r="E478">
        <v>1</v>
      </c>
      <c r="F478">
        <v>1</v>
      </c>
      <c r="G478">
        <v>1</v>
      </c>
      <c r="H478">
        <v>3</v>
      </c>
      <c r="I478" t="s">
        <v>1150</v>
      </c>
      <c r="J478" t="s">
        <v>1151</v>
      </c>
      <c r="K478" t="s">
        <v>1152</v>
      </c>
      <c r="L478">
        <v>1348</v>
      </c>
      <c r="N478">
        <v>1009</v>
      </c>
      <c r="O478" t="s">
        <v>170</v>
      </c>
      <c r="P478" t="s">
        <v>170</v>
      </c>
      <c r="Q478">
        <v>1000</v>
      </c>
      <c r="X478">
        <v>7.2500000000000004E-3</v>
      </c>
      <c r="Y478">
        <v>9167</v>
      </c>
      <c r="Z478">
        <v>0</v>
      </c>
      <c r="AA478">
        <v>0</v>
      </c>
      <c r="AB478">
        <v>0</v>
      </c>
      <c r="AC478">
        <v>0</v>
      </c>
      <c r="AD478">
        <v>1</v>
      </c>
      <c r="AE478">
        <v>0</v>
      </c>
      <c r="AF478" t="s">
        <v>3</v>
      </c>
      <c r="AG478">
        <v>7.2500000000000004E-3</v>
      </c>
      <c r="AH478">
        <v>2</v>
      </c>
      <c r="AI478">
        <v>94803409</v>
      </c>
      <c r="AJ478">
        <v>478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 x14ac:dyDescent="0.2">
      <c r="A479">
        <f>ROW(Source!A490)</f>
        <v>490</v>
      </c>
      <c r="B479">
        <v>94803410</v>
      </c>
      <c r="C479">
        <v>94803405</v>
      </c>
      <c r="D479">
        <v>37736992</v>
      </c>
      <c r="E479">
        <v>1</v>
      </c>
      <c r="F479">
        <v>1</v>
      </c>
      <c r="G479">
        <v>1</v>
      </c>
      <c r="H479">
        <v>3</v>
      </c>
      <c r="I479" t="s">
        <v>1153</v>
      </c>
      <c r="J479" t="s">
        <v>1154</v>
      </c>
      <c r="K479" t="s">
        <v>1155</v>
      </c>
      <c r="L479">
        <v>1348</v>
      </c>
      <c r="N479">
        <v>1009</v>
      </c>
      <c r="O479" t="s">
        <v>170</v>
      </c>
      <c r="P479" t="s">
        <v>170</v>
      </c>
      <c r="Q479">
        <v>1000</v>
      </c>
      <c r="X479">
        <v>2.2000000000000001E-3</v>
      </c>
      <c r="Y479">
        <v>9167</v>
      </c>
      <c r="Z479">
        <v>0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3</v>
      </c>
      <c r="AG479">
        <v>2.2000000000000001E-3</v>
      </c>
      <c r="AH479">
        <v>2</v>
      </c>
      <c r="AI479">
        <v>94803410</v>
      </c>
      <c r="AJ479">
        <v>479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 x14ac:dyDescent="0.2">
      <c r="A480">
        <f>ROW(Source!A490)</f>
        <v>490</v>
      </c>
      <c r="B480">
        <v>94803411</v>
      </c>
      <c r="C480">
        <v>94803405</v>
      </c>
      <c r="D480">
        <v>37731297</v>
      </c>
      <c r="E480">
        <v>1</v>
      </c>
      <c r="F480">
        <v>1</v>
      </c>
      <c r="G480">
        <v>1</v>
      </c>
      <c r="H480">
        <v>3</v>
      </c>
      <c r="I480" t="s">
        <v>1156</v>
      </c>
      <c r="J480" t="s">
        <v>1157</v>
      </c>
      <c r="K480" t="s">
        <v>1158</v>
      </c>
      <c r="L480">
        <v>1327</v>
      </c>
      <c r="N480">
        <v>1005</v>
      </c>
      <c r="O480" t="s">
        <v>201</v>
      </c>
      <c r="P480" t="s">
        <v>201</v>
      </c>
      <c r="Q480">
        <v>1</v>
      </c>
      <c r="X480">
        <v>105</v>
      </c>
      <c r="Y480">
        <v>3.25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3</v>
      </c>
      <c r="AG480">
        <v>105</v>
      </c>
      <c r="AH480">
        <v>2</v>
      </c>
      <c r="AI480">
        <v>94803411</v>
      </c>
      <c r="AJ480">
        <v>480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 x14ac:dyDescent="0.2">
      <c r="A481">
        <f>ROW(Source!A490)</f>
        <v>490</v>
      </c>
      <c r="B481">
        <v>94803412</v>
      </c>
      <c r="C481">
        <v>94803405</v>
      </c>
      <c r="D481">
        <v>37738204</v>
      </c>
      <c r="E481">
        <v>1</v>
      </c>
      <c r="F481">
        <v>1</v>
      </c>
      <c r="G481">
        <v>1</v>
      </c>
      <c r="H481">
        <v>3</v>
      </c>
      <c r="I481" t="s">
        <v>1159</v>
      </c>
      <c r="J481" t="s">
        <v>1160</v>
      </c>
      <c r="K481" t="s">
        <v>1161</v>
      </c>
      <c r="L481">
        <v>1339</v>
      </c>
      <c r="N481">
        <v>1007</v>
      </c>
      <c r="O481" t="s">
        <v>52</v>
      </c>
      <c r="P481" t="s">
        <v>52</v>
      </c>
      <c r="Q481">
        <v>1</v>
      </c>
      <c r="X481">
        <v>0.14000000000000001</v>
      </c>
      <c r="Y481">
        <v>1150</v>
      </c>
      <c r="Z481">
        <v>0</v>
      </c>
      <c r="AA481">
        <v>0</v>
      </c>
      <c r="AB481">
        <v>0</v>
      </c>
      <c r="AC481">
        <v>0</v>
      </c>
      <c r="AD481">
        <v>1</v>
      </c>
      <c r="AE481">
        <v>0</v>
      </c>
      <c r="AF481" t="s">
        <v>3</v>
      </c>
      <c r="AG481">
        <v>0.14000000000000001</v>
      </c>
      <c r="AH481">
        <v>2</v>
      </c>
      <c r="AI481">
        <v>94803412</v>
      </c>
      <c r="AJ481">
        <v>481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 x14ac:dyDescent="0.2">
      <c r="A482">
        <f>ROW(Source!A490)</f>
        <v>490</v>
      </c>
      <c r="B482">
        <v>94803413</v>
      </c>
      <c r="C482">
        <v>94803405</v>
      </c>
      <c r="D482">
        <v>37752962</v>
      </c>
      <c r="E482">
        <v>1</v>
      </c>
      <c r="F482">
        <v>1</v>
      </c>
      <c r="G482">
        <v>1</v>
      </c>
      <c r="H482">
        <v>3</v>
      </c>
      <c r="I482" t="s">
        <v>1162</v>
      </c>
      <c r="J482" t="s">
        <v>1163</v>
      </c>
      <c r="K482" t="s">
        <v>1164</v>
      </c>
      <c r="L482">
        <v>1339</v>
      </c>
      <c r="N482">
        <v>1007</v>
      </c>
      <c r="O482" t="s">
        <v>52</v>
      </c>
      <c r="P482" t="s">
        <v>52</v>
      </c>
      <c r="Q482">
        <v>1</v>
      </c>
      <c r="X482">
        <v>1.43</v>
      </c>
      <c r="Y482">
        <v>1784</v>
      </c>
      <c r="Z482">
        <v>0</v>
      </c>
      <c r="AA482">
        <v>0</v>
      </c>
      <c r="AB482">
        <v>0</v>
      </c>
      <c r="AC482">
        <v>0</v>
      </c>
      <c r="AD482">
        <v>1</v>
      </c>
      <c r="AE482">
        <v>0</v>
      </c>
      <c r="AF482" t="s">
        <v>3</v>
      </c>
      <c r="AG482">
        <v>1.43</v>
      </c>
      <c r="AH482">
        <v>2</v>
      </c>
      <c r="AI482">
        <v>94803413</v>
      </c>
      <c r="AJ482">
        <v>482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 x14ac:dyDescent="0.2">
      <c r="A483">
        <f>ROW(Source!A491)</f>
        <v>491</v>
      </c>
      <c r="B483">
        <v>94803415</v>
      </c>
      <c r="C483">
        <v>94803414</v>
      </c>
      <c r="D483">
        <v>23129487</v>
      </c>
      <c r="E483">
        <v>1</v>
      </c>
      <c r="F483">
        <v>1</v>
      </c>
      <c r="G483">
        <v>1</v>
      </c>
      <c r="H483">
        <v>1</v>
      </c>
      <c r="I483" t="s">
        <v>915</v>
      </c>
      <c r="J483" t="s">
        <v>3</v>
      </c>
      <c r="K483" t="s">
        <v>916</v>
      </c>
      <c r="L483">
        <v>1369</v>
      </c>
      <c r="N483">
        <v>1013</v>
      </c>
      <c r="O483" t="s">
        <v>696</v>
      </c>
      <c r="P483" t="s">
        <v>696</v>
      </c>
      <c r="Q483">
        <v>1</v>
      </c>
      <c r="X483">
        <v>90.85</v>
      </c>
      <c r="Y483">
        <v>0</v>
      </c>
      <c r="Z483">
        <v>0</v>
      </c>
      <c r="AA483">
        <v>0</v>
      </c>
      <c r="AB483">
        <v>8.48</v>
      </c>
      <c r="AC483">
        <v>0</v>
      </c>
      <c r="AD483">
        <v>1</v>
      </c>
      <c r="AE483">
        <v>1</v>
      </c>
      <c r="AF483" t="s">
        <v>3</v>
      </c>
      <c r="AG483">
        <v>90.85</v>
      </c>
      <c r="AH483">
        <v>2</v>
      </c>
      <c r="AI483">
        <v>94803415</v>
      </c>
      <c r="AJ483">
        <v>483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  <row r="484" spans="1:44" x14ac:dyDescent="0.2">
      <c r="A484">
        <f>ROW(Source!A491)</f>
        <v>491</v>
      </c>
      <c r="B484">
        <v>94803416</v>
      </c>
      <c r="C484">
        <v>94803414</v>
      </c>
      <c r="D484">
        <v>121548</v>
      </c>
      <c r="E484">
        <v>1</v>
      </c>
      <c r="F484">
        <v>1</v>
      </c>
      <c r="G484">
        <v>1</v>
      </c>
      <c r="H484">
        <v>1</v>
      </c>
      <c r="I484" t="s">
        <v>28</v>
      </c>
      <c r="J484" t="s">
        <v>3</v>
      </c>
      <c r="K484" t="s">
        <v>705</v>
      </c>
      <c r="L484">
        <v>608254</v>
      </c>
      <c r="N484">
        <v>1013</v>
      </c>
      <c r="O484" t="s">
        <v>706</v>
      </c>
      <c r="P484" t="s">
        <v>706</v>
      </c>
      <c r="Q484">
        <v>1</v>
      </c>
      <c r="X484">
        <v>0.5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1</v>
      </c>
      <c r="AE484">
        <v>2</v>
      </c>
      <c r="AF484" t="s">
        <v>3</v>
      </c>
      <c r="AG484">
        <v>0.5</v>
      </c>
      <c r="AH484">
        <v>2</v>
      </c>
      <c r="AI484">
        <v>94803416</v>
      </c>
      <c r="AJ484">
        <v>484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</row>
    <row r="485" spans="1:44" x14ac:dyDescent="0.2">
      <c r="A485">
        <f>ROW(Source!A491)</f>
        <v>491</v>
      </c>
      <c r="B485">
        <v>94803417</v>
      </c>
      <c r="C485">
        <v>94803414</v>
      </c>
      <c r="D485">
        <v>37802359</v>
      </c>
      <c r="E485">
        <v>1</v>
      </c>
      <c r="F485">
        <v>1</v>
      </c>
      <c r="G485">
        <v>1</v>
      </c>
      <c r="H485">
        <v>2</v>
      </c>
      <c r="I485" t="s">
        <v>886</v>
      </c>
      <c r="J485" t="s">
        <v>887</v>
      </c>
      <c r="K485" t="s">
        <v>888</v>
      </c>
      <c r="L485">
        <v>1368</v>
      </c>
      <c r="N485">
        <v>1011</v>
      </c>
      <c r="O485" t="s">
        <v>700</v>
      </c>
      <c r="P485" t="s">
        <v>700</v>
      </c>
      <c r="Q485">
        <v>1</v>
      </c>
      <c r="X485">
        <v>0.42</v>
      </c>
      <c r="Y485">
        <v>0</v>
      </c>
      <c r="Z485">
        <v>103.49</v>
      </c>
      <c r="AA485">
        <v>12.1</v>
      </c>
      <c r="AB485">
        <v>0</v>
      </c>
      <c r="AC485">
        <v>0</v>
      </c>
      <c r="AD485">
        <v>1</v>
      </c>
      <c r="AE485">
        <v>0</v>
      </c>
      <c r="AF485" t="s">
        <v>3</v>
      </c>
      <c r="AG485">
        <v>0.42</v>
      </c>
      <c r="AH485">
        <v>2</v>
      </c>
      <c r="AI485">
        <v>94803417</v>
      </c>
      <c r="AJ485">
        <v>485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</row>
    <row r="486" spans="1:44" x14ac:dyDescent="0.2">
      <c r="A486">
        <f>ROW(Source!A491)</f>
        <v>491</v>
      </c>
      <c r="B486">
        <v>94803418</v>
      </c>
      <c r="C486">
        <v>94803414</v>
      </c>
      <c r="D486">
        <v>37802443</v>
      </c>
      <c r="E486">
        <v>1</v>
      </c>
      <c r="F486">
        <v>1</v>
      </c>
      <c r="G486">
        <v>1</v>
      </c>
      <c r="H486">
        <v>2</v>
      </c>
      <c r="I486" t="s">
        <v>721</v>
      </c>
      <c r="J486" t="s">
        <v>722</v>
      </c>
      <c r="K486" t="s">
        <v>723</v>
      </c>
      <c r="L486">
        <v>1368</v>
      </c>
      <c r="N486">
        <v>1011</v>
      </c>
      <c r="O486" t="s">
        <v>700</v>
      </c>
      <c r="P486" t="s">
        <v>700</v>
      </c>
      <c r="Q486">
        <v>1</v>
      </c>
      <c r="X486">
        <v>0.08</v>
      </c>
      <c r="Y486">
        <v>0</v>
      </c>
      <c r="Z486">
        <v>124.14</v>
      </c>
      <c r="AA486">
        <v>12.1</v>
      </c>
      <c r="AB486">
        <v>0</v>
      </c>
      <c r="AC486">
        <v>0</v>
      </c>
      <c r="AD486">
        <v>1</v>
      </c>
      <c r="AE486">
        <v>0</v>
      </c>
      <c r="AF486" t="s">
        <v>3</v>
      </c>
      <c r="AG486">
        <v>0.08</v>
      </c>
      <c r="AH486">
        <v>2</v>
      </c>
      <c r="AI486">
        <v>94803418</v>
      </c>
      <c r="AJ486">
        <v>486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</row>
    <row r="487" spans="1:44" x14ac:dyDescent="0.2">
      <c r="A487">
        <f>ROW(Source!A491)</f>
        <v>491</v>
      </c>
      <c r="B487">
        <v>94803419</v>
      </c>
      <c r="C487">
        <v>94803414</v>
      </c>
      <c r="D487">
        <v>37804456</v>
      </c>
      <c r="E487">
        <v>1</v>
      </c>
      <c r="F487">
        <v>1</v>
      </c>
      <c r="G487">
        <v>1</v>
      </c>
      <c r="H487">
        <v>2</v>
      </c>
      <c r="I487" t="s">
        <v>713</v>
      </c>
      <c r="J487" t="s">
        <v>714</v>
      </c>
      <c r="K487" t="s">
        <v>715</v>
      </c>
      <c r="L487">
        <v>1368</v>
      </c>
      <c r="N487">
        <v>1011</v>
      </c>
      <c r="O487" t="s">
        <v>700</v>
      </c>
      <c r="P487" t="s">
        <v>700</v>
      </c>
      <c r="Q487">
        <v>1</v>
      </c>
      <c r="X487">
        <v>0.13</v>
      </c>
      <c r="Y487">
        <v>0</v>
      </c>
      <c r="Z487">
        <v>91.76</v>
      </c>
      <c r="AA487">
        <v>10.35</v>
      </c>
      <c r="AB487">
        <v>0</v>
      </c>
      <c r="AC487">
        <v>0</v>
      </c>
      <c r="AD487">
        <v>1</v>
      </c>
      <c r="AE487">
        <v>0</v>
      </c>
      <c r="AF487" t="s">
        <v>3</v>
      </c>
      <c r="AG487">
        <v>0.13</v>
      </c>
      <c r="AH487">
        <v>2</v>
      </c>
      <c r="AI487">
        <v>94803419</v>
      </c>
      <c r="AJ487">
        <v>487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</row>
    <row r="488" spans="1:44" x14ac:dyDescent="0.2">
      <c r="A488">
        <f>ROW(Source!A491)</f>
        <v>491</v>
      </c>
      <c r="B488">
        <v>94803420</v>
      </c>
      <c r="C488">
        <v>94803414</v>
      </c>
      <c r="D488">
        <v>37736992</v>
      </c>
      <c r="E488">
        <v>1</v>
      </c>
      <c r="F488">
        <v>1</v>
      </c>
      <c r="G488">
        <v>1</v>
      </c>
      <c r="H488">
        <v>3</v>
      </c>
      <c r="I488" t="s">
        <v>1153</v>
      </c>
      <c r="J488" t="s">
        <v>1154</v>
      </c>
      <c r="K488" t="s">
        <v>1155</v>
      </c>
      <c r="L488">
        <v>1348</v>
      </c>
      <c r="N488">
        <v>1009</v>
      </c>
      <c r="O488" t="s">
        <v>170</v>
      </c>
      <c r="P488" t="s">
        <v>170</v>
      </c>
      <c r="Q488">
        <v>1000</v>
      </c>
      <c r="X488">
        <v>7.1000000000000004E-3</v>
      </c>
      <c r="Y488">
        <v>9167</v>
      </c>
      <c r="Z488">
        <v>0</v>
      </c>
      <c r="AA488">
        <v>0</v>
      </c>
      <c r="AB488">
        <v>0</v>
      </c>
      <c r="AC488">
        <v>0</v>
      </c>
      <c r="AD488">
        <v>1</v>
      </c>
      <c r="AE488">
        <v>0</v>
      </c>
      <c r="AF488" t="s">
        <v>3</v>
      </c>
      <c r="AG488">
        <v>7.1000000000000004E-3</v>
      </c>
      <c r="AH488">
        <v>2</v>
      </c>
      <c r="AI488">
        <v>94803420</v>
      </c>
      <c r="AJ488">
        <v>488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</row>
    <row r="489" spans="1:44" x14ac:dyDescent="0.2">
      <c r="A489">
        <f>ROW(Source!A491)</f>
        <v>491</v>
      </c>
      <c r="B489">
        <v>94803421</v>
      </c>
      <c r="C489">
        <v>94803414</v>
      </c>
      <c r="D489">
        <v>37735405</v>
      </c>
      <c r="E489">
        <v>1</v>
      </c>
      <c r="F489">
        <v>1</v>
      </c>
      <c r="G489">
        <v>1</v>
      </c>
      <c r="H489">
        <v>3</v>
      </c>
      <c r="I489" t="s">
        <v>1054</v>
      </c>
      <c r="J489" t="s">
        <v>1055</v>
      </c>
      <c r="K489" t="s">
        <v>1056</v>
      </c>
      <c r="L489">
        <v>1348</v>
      </c>
      <c r="N489">
        <v>1009</v>
      </c>
      <c r="O489" t="s">
        <v>170</v>
      </c>
      <c r="P489" t="s">
        <v>170</v>
      </c>
      <c r="Q489">
        <v>1000</v>
      </c>
      <c r="X489">
        <v>5.1999999999999998E-2</v>
      </c>
      <c r="Y489">
        <v>5989</v>
      </c>
      <c r="Z489">
        <v>0</v>
      </c>
      <c r="AA489">
        <v>0</v>
      </c>
      <c r="AB489">
        <v>0</v>
      </c>
      <c r="AC489">
        <v>0</v>
      </c>
      <c r="AD489">
        <v>1</v>
      </c>
      <c r="AE489">
        <v>0</v>
      </c>
      <c r="AF489" t="s">
        <v>3</v>
      </c>
      <c r="AG489">
        <v>5.1999999999999998E-2</v>
      </c>
      <c r="AH489">
        <v>2</v>
      </c>
      <c r="AI489">
        <v>94803421</v>
      </c>
      <c r="AJ489">
        <v>489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</row>
    <row r="490" spans="1:44" x14ac:dyDescent="0.2">
      <c r="A490">
        <f>ROW(Source!A491)</f>
        <v>491</v>
      </c>
      <c r="B490">
        <v>94803422</v>
      </c>
      <c r="C490">
        <v>94803414</v>
      </c>
      <c r="D490">
        <v>37735848</v>
      </c>
      <c r="E490">
        <v>1</v>
      </c>
      <c r="F490">
        <v>1</v>
      </c>
      <c r="G490">
        <v>1</v>
      </c>
      <c r="H490">
        <v>3</v>
      </c>
      <c r="I490" t="s">
        <v>1165</v>
      </c>
      <c r="J490" t="s">
        <v>1166</v>
      </c>
      <c r="K490" t="s">
        <v>1167</v>
      </c>
      <c r="L490">
        <v>1348</v>
      </c>
      <c r="N490">
        <v>1009</v>
      </c>
      <c r="O490" t="s">
        <v>170</v>
      </c>
      <c r="P490" t="s">
        <v>170</v>
      </c>
      <c r="Q490">
        <v>1000</v>
      </c>
      <c r="X490">
        <v>0.87</v>
      </c>
      <c r="Y490">
        <v>11200</v>
      </c>
      <c r="Z490">
        <v>0</v>
      </c>
      <c r="AA490">
        <v>0</v>
      </c>
      <c r="AB490">
        <v>0</v>
      </c>
      <c r="AC490">
        <v>0</v>
      </c>
      <c r="AD490">
        <v>1</v>
      </c>
      <c r="AE490">
        <v>0</v>
      </c>
      <c r="AF490" t="s">
        <v>3</v>
      </c>
      <c r="AG490">
        <v>0.87</v>
      </c>
      <c r="AH490">
        <v>2</v>
      </c>
      <c r="AI490">
        <v>94803422</v>
      </c>
      <c r="AJ490">
        <v>490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</row>
    <row r="491" spans="1:44" x14ac:dyDescent="0.2">
      <c r="A491">
        <f>ROW(Source!A491)</f>
        <v>491</v>
      </c>
      <c r="B491">
        <v>94803423</v>
      </c>
      <c r="C491">
        <v>94803414</v>
      </c>
      <c r="D491">
        <v>37738212</v>
      </c>
      <c r="E491">
        <v>1</v>
      </c>
      <c r="F491">
        <v>1</v>
      </c>
      <c r="G491">
        <v>1</v>
      </c>
      <c r="H491">
        <v>3</v>
      </c>
      <c r="I491" t="s">
        <v>1136</v>
      </c>
      <c r="J491" t="s">
        <v>1137</v>
      </c>
      <c r="K491" t="s">
        <v>1138</v>
      </c>
      <c r="L491">
        <v>1339</v>
      </c>
      <c r="N491">
        <v>1007</v>
      </c>
      <c r="O491" t="s">
        <v>52</v>
      </c>
      <c r="P491" t="s">
        <v>52</v>
      </c>
      <c r="Q491">
        <v>1</v>
      </c>
      <c r="X491">
        <v>1.8</v>
      </c>
      <c r="Y491">
        <v>1104</v>
      </c>
      <c r="Z491">
        <v>0</v>
      </c>
      <c r="AA491">
        <v>0</v>
      </c>
      <c r="AB491">
        <v>0</v>
      </c>
      <c r="AC491">
        <v>0</v>
      </c>
      <c r="AD491">
        <v>1</v>
      </c>
      <c r="AE491">
        <v>0</v>
      </c>
      <c r="AF491" t="s">
        <v>3</v>
      </c>
      <c r="AG491">
        <v>1.8</v>
      </c>
      <c r="AH491">
        <v>2</v>
      </c>
      <c r="AI491">
        <v>94803423</v>
      </c>
      <c r="AJ491">
        <v>491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</row>
    <row r="492" spans="1:44" x14ac:dyDescent="0.2">
      <c r="A492">
        <f>ROW(Source!A492)</f>
        <v>492</v>
      </c>
      <c r="B492">
        <v>94803430</v>
      </c>
      <c r="C492">
        <v>94803429</v>
      </c>
      <c r="D492">
        <v>23176489</v>
      </c>
      <c r="E492">
        <v>1</v>
      </c>
      <c r="F492">
        <v>1</v>
      </c>
      <c r="G492">
        <v>1</v>
      </c>
      <c r="H492">
        <v>1</v>
      </c>
      <c r="I492" t="s">
        <v>1168</v>
      </c>
      <c r="J492" t="s">
        <v>3</v>
      </c>
      <c r="K492" t="s">
        <v>1169</v>
      </c>
      <c r="L492">
        <v>1369</v>
      </c>
      <c r="N492">
        <v>1013</v>
      </c>
      <c r="O492" t="s">
        <v>696</v>
      </c>
      <c r="P492" t="s">
        <v>696</v>
      </c>
      <c r="Q492">
        <v>1</v>
      </c>
      <c r="X492">
        <v>75.3</v>
      </c>
      <c r="Y492">
        <v>0</v>
      </c>
      <c r="Z492">
        <v>0</v>
      </c>
      <c r="AA492">
        <v>0</v>
      </c>
      <c r="AB492">
        <v>10.36</v>
      </c>
      <c r="AC492">
        <v>0</v>
      </c>
      <c r="AD492">
        <v>1</v>
      </c>
      <c r="AE492">
        <v>1</v>
      </c>
      <c r="AF492" t="s">
        <v>3</v>
      </c>
      <c r="AG492">
        <v>75.3</v>
      </c>
      <c r="AH492">
        <v>2</v>
      </c>
      <c r="AI492">
        <v>94803430</v>
      </c>
      <c r="AJ492">
        <v>492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</row>
    <row r="493" spans="1:44" x14ac:dyDescent="0.2">
      <c r="A493">
        <f>ROW(Source!A492)</f>
        <v>492</v>
      </c>
      <c r="B493">
        <v>94803431</v>
      </c>
      <c r="C493">
        <v>94803429</v>
      </c>
      <c r="D493">
        <v>37803303</v>
      </c>
      <c r="E493">
        <v>1</v>
      </c>
      <c r="F493">
        <v>1</v>
      </c>
      <c r="G493">
        <v>1</v>
      </c>
      <c r="H493">
        <v>2</v>
      </c>
      <c r="I493" t="s">
        <v>1170</v>
      </c>
      <c r="J493" t="s">
        <v>1171</v>
      </c>
      <c r="K493" t="s">
        <v>1172</v>
      </c>
      <c r="L493">
        <v>1368</v>
      </c>
      <c r="N493">
        <v>1011</v>
      </c>
      <c r="O493" t="s">
        <v>700</v>
      </c>
      <c r="P493" t="s">
        <v>700</v>
      </c>
      <c r="Q493">
        <v>1</v>
      </c>
      <c r="X493">
        <v>4.8</v>
      </c>
      <c r="Y493">
        <v>0</v>
      </c>
      <c r="Z493">
        <v>1.98</v>
      </c>
      <c r="AA493">
        <v>0</v>
      </c>
      <c r="AB493">
        <v>0</v>
      </c>
      <c r="AC493">
        <v>0</v>
      </c>
      <c r="AD493">
        <v>1</v>
      </c>
      <c r="AE493">
        <v>0</v>
      </c>
      <c r="AF493" t="s">
        <v>3</v>
      </c>
      <c r="AG493">
        <v>4.8</v>
      </c>
      <c r="AH493">
        <v>2</v>
      </c>
      <c r="AI493">
        <v>94803431</v>
      </c>
      <c r="AJ493">
        <v>493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</row>
    <row r="494" spans="1:44" x14ac:dyDescent="0.2">
      <c r="A494">
        <f>ROW(Source!A492)</f>
        <v>492</v>
      </c>
      <c r="B494">
        <v>94803432</v>
      </c>
      <c r="C494">
        <v>94803429</v>
      </c>
      <c r="D494">
        <v>37804456</v>
      </c>
      <c r="E494">
        <v>1</v>
      </c>
      <c r="F494">
        <v>1</v>
      </c>
      <c r="G494">
        <v>1</v>
      </c>
      <c r="H494">
        <v>2</v>
      </c>
      <c r="I494" t="s">
        <v>713</v>
      </c>
      <c r="J494" t="s">
        <v>714</v>
      </c>
      <c r="K494" t="s">
        <v>715</v>
      </c>
      <c r="L494">
        <v>1368</v>
      </c>
      <c r="N494">
        <v>1011</v>
      </c>
      <c r="O494" t="s">
        <v>700</v>
      </c>
      <c r="P494" t="s">
        <v>700</v>
      </c>
      <c r="Q494">
        <v>1</v>
      </c>
      <c r="X494">
        <v>0.05</v>
      </c>
      <c r="Y494">
        <v>0</v>
      </c>
      <c r="Z494">
        <v>91.76</v>
      </c>
      <c r="AA494">
        <v>10.35</v>
      </c>
      <c r="AB494">
        <v>0</v>
      </c>
      <c r="AC494">
        <v>0</v>
      </c>
      <c r="AD494">
        <v>1</v>
      </c>
      <c r="AE494">
        <v>0</v>
      </c>
      <c r="AF494" t="s">
        <v>3</v>
      </c>
      <c r="AG494">
        <v>0.05</v>
      </c>
      <c r="AH494">
        <v>2</v>
      </c>
      <c r="AI494">
        <v>94803432</v>
      </c>
      <c r="AJ494">
        <v>494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</row>
    <row r="495" spans="1:44" x14ac:dyDescent="0.2">
      <c r="A495">
        <f>ROW(Source!A492)</f>
        <v>492</v>
      </c>
      <c r="B495">
        <v>94803433</v>
      </c>
      <c r="C495">
        <v>94803429</v>
      </c>
      <c r="D495">
        <v>37737431</v>
      </c>
      <c r="E495">
        <v>1</v>
      </c>
      <c r="F495">
        <v>1</v>
      </c>
      <c r="G495">
        <v>1</v>
      </c>
      <c r="H495">
        <v>3</v>
      </c>
      <c r="I495" t="s">
        <v>1173</v>
      </c>
      <c r="J495" t="s">
        <v>1174</v>
      </c>
      <c r="K495" t="s">
        <v>1175</v>
      </c>
      <c r="L495">
        <v>1035</v>
      </c>
      <c r="N495">
        <v>1013</v>
      </c>
      <c r="O495" t="s">
        <v>289</v>
      </c>
      <c r="P495" t="s">
        <v>289</v>
      </c>
      <c r="Q495">
        <v>1</v>
      </c>
      <c r="X495">
        <v>100</v>
      </c>
      <c r="Y495">
        <v>27</v>
      </c>
      <c r="Z495">
        <v>0</v>
      </c>
      <c r="AA495">
        <v>0</v>
      </c>
      <c r="AB495">
        <v>0</v>
      </c>
      <c r="AC495">
        <v>0</v>
      </c>
      <c r="AD495">
        <v>1</v>
      </c>
      <c r="AE495">
        <v>0</v>
      </c>
      <c r="AF495" t="s">
        <v>3</v>
      </c>
      <c r="AG495">
        <v>100</v>
      </c>
      <c r="AH495">
        <v>2</v>
      </c>
      <c r="AI495">
        <v>94803433</v>
      </c>
      <c r="AJ495">
        <v>495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</row>
    <row r="496" spans="1:44" x14ac:dyDescent="0.2">
      <c r="A496">
        <f>ROW(Source!A493)</f>
        <v>493</v>
      </c>
      <c r="B496">
        <v>94803425</v>
      </c>
      <c r="C496">
        <v>94803424</v>
      </c>
      <c r="D496">
        <v>23129805</v>
      </c>
      <c r="E496">
        <v>1</v>
      </c>
      <c r="F496">
        <v>1</v>
      </c>
      <c r="G496">
        <v>1</v>
      </c>
      <c r="H496">
        <v>1</v>
      </c>
      <c r="I496" t="s">
        <v>703</v>
      </c>
      <c r="J496" t="s">
        <v>3</v>
      </c>
      <c r="K496" t="s">
        <v>704</v>
      </c>
      <c r="L496">
        <v>1369</v>
      </c>
      <c r="N496">
        <v>1013</v>
      </c>
      <c r="O496" t="s">
        <v>696</v>
      </c>
      <c r="P496" t="s">
        <v>696</v>
      </c>
      <c r="Q496">
        <v>1</v>
      </c>
      <c r="X496">
        <v>99.6</v>
      </c>
      <c r="Y496">
        <v>0</v>
      </c>
      <c r="Z496">
        <v>0</v>
      </c>
      <c r="AA496">
        <v>0</v>
      </c>
      <c r="AB496">
        <v>7.97</v>
      </c>
      <c r="AC496">
        <v>0</v>
      </c>
      <c r="AD496">
        <v>1</v>
      </c>
      <c r="AE496">
        <v>1</v>
      </c>
      <c r="AF496" t="s">
        <v>3</v>
      </c>
      <c r="AG496">
        <v>99.6</v>
      </c>
      <c r="AH496">
        <v>2</v>
      </c>
      <c r="AI496">
        <v>94803425</v>
      </c>
      <c r="AJ496">
        <v>496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</row>
    <row r="497" spans="1:44" x14ac:dyDescent="0.2">
      <c r="A497">
        <f>ROW(Source!A493)</f>
        <v>493</v>
      </c>
      <c r="B497">
        <v>94803426</v>
      </c>
      <c r="C497">
        <v>94803424</v>
      </c>
      <c r="D497">
        <v>37737416</v>
      </c>
      <c r="E497">
        <v>1</v>
      </c>
      <c r="F497">
        <v>1</v>
      </c>
      <c r="G497">
        <v>1</v>
      </c>
      <c r="H497">
        <v>3</v>
      </c>
      <c r="I497" t="s">
        <v>283</v>
      </c>
      <c r="J497" t="s">
        <v>285</v>
      </c>
      <c r="K497" t="s">
        <v>284</v>
      </c>
      <c r="L497">
        <v>1354</v>
      </c>
      <c r="N497">
        <v>1010</v>
      </c>
      <c r="O497" t="s">
        <v>47</v>
      </c>
      <c r="P497" t="s">
        <v>47</v>
      </c>
      <c r="Q497">
        <v>1</v>
      </c>
      <c r="X497">
        <v>100</v>
      </c>
      <c r="Y497">
        <v>12</v>
      </c>
      <c r="Z497">
        <v>0</v>
      </c>
      <c r="AA497">
        <v>0</v>
      </c>
      <c r="AB497">
        <v>0</v>
      </c>
      <c r="AC497">
        <v>0</v>
      </c>
      <c r="AD497">
        <v>1</v>
      </c>
      <c r="AE497">
        <v>0</v>
      </c>
      <c r="AF497" t="s">
        <v>3</v>
      </c>
      <c r="AG497">
        <v>100</v>
      </c>
      <c r="AH497">
        <v>2</v>
      </c>
      <c r="AI497">
        <v>94803426</v>
      </c>
      <c r="AJ497">
        <v>497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</row>
    <row r="498" spans="1:44" x14ac:dyDescent="0.2">
      <c r="A498">
        <f>ROW(Source!A493)</f>
        <v>493</v>
      </c>
      <c r="B498">
        <v>94803427</v>
      </c>
      <c r="C498">
        <v>94803424</v>
      </c>
      <c r="D498">
        <v>37737276</v>
      </c>
      <c r="E498">
        <v>1</v>
      </c>
      <c r="F498">
        <v>1</v>
      </c>
      <c r="G498">
        <v>1</v>
      </c>
      <c r="H498">
        <v>3</v>
      </c>
      <c r="I498" t="s">
        <v>1176</v>
      </c>
      <c r="J498" t="s">
        <v>1177</v>
      </c>
      <c r="K498" t="s">
        <v>1178</v>
      </c>
      <c r="L498">
        <v>1348</v>
      </c>
      <c r="N498">
        <v>1009</v>
      </c>
      <c r="O498" t="s">
        <v>170</v>
      </c>
      <c r="P498" t="s">
        <v>170</v>
      </c>
      <c r="Q498">
        <v>1000</v>
      </c>
      <c r="X498">
        <v>1.6E-2</v>
      </c>
      <c r="Y498">
        <v>16974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0</v>
      </c>
      <c r="AF498" t="s">
        <v>3</v>
      </c>
      <c r="AG498">
        <v>1.6E-2</v>
      </c>
      <c r="AH498">
        <v>2</v>
      </c>
      <c r="AI498">
        <v>94803427</v>
      </c>
      <c r="AJ498">
        <v>498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Смета для ТЕР ЧР</vt:lpstr>
      <vt:lpstr>RV_DATA</vt:lpstr>
      <vt:lpstr>Расчет стоимости ресурсов</vt:lpstr>
      <vt:lpstr>Ведомость объемов работ</vt:lpstr>
      <vt:lpstr>Source</vt:lpstr>
      <vt:lpstr>SourceObSm</vt:lpstr>
      <vt:lpstr>SmtRes</vt:lpstr>
      <vt:lpstr>EtalonRes</vt:lpstr>
      <vt:lpstr>SrcKA</vt:lpstr>
      <vt:lpstr>'Ведомость объемов работ'!Заголовки_для_печати</vt:lpstr>
      <vt:lpstr>'Расчет стоимости ресурсов'!Заголовки_для_печати</vt:lpstr>
      <vt:lpstr>'Смета для ТЕР ЧР'!Заголовки_для_печати</vt:lpstr>
      <vt:lpstr>'Ведомость объемов работ'!Область_печати</vt:lpstr>
      <vt:lpstr>'Расчет стоимости ресурсов'!Область_печати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</cp:lastModifiedBy>
  <cp:lastPrinted>2024-09-20T08:20:09Z</cp:lastPrinted>
  <dcterms:created xsi:type="dcterms:W3CDTF">2024-09-20T08:18:35Z</dcterms:created>
  <dcterms:modified xsi:type="dcterms:W3CDTF">2024-09-20T08:20:46Z</dcterms:modified>
</cp:coreProperties>
</file>